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085" tabRatio="704"/>
  </bookViews>
  <sheets>
    <sheet name="MDS" sheetId="14" r:id="rId1"/>
    <sheet name="Groups III (Cluster Analysis)" sheetId="13" r:id="rId2"/>
    <sheet name="Groups II" sheetId="12" r:id="rId3"/>
    <sheet name="Groups I" sheetId="11" r:id="rId4"/>
    <sheet name="Data Blocks" sheetId="10" r:id="rId5"/>
    <sheet name="Rs &amp; Qs II" sheetId="8" r:id="rId6"/>
    <sheet name="R&amp;Qs" sheetId="7" r:id="rId7"/>
    <sheet name="FA" sheetId="6" r:id="rId8"/>
    <sheet name="PCA" sheetId="5" r:id="rId9"/>
    <sheet name="Regression 4" sheetId="4" r:id="rId10"/>
    <sheet name="Regression 3" sheetId="3" r:id="rId11"/>
    <sheet name="Regression 2" sheetId="2" r:id="rId12"/>
    <sheet name="Regression 1" sheetId="1" r:id="rId13"/>
  </sheets>
  <definedNames>
    <definedName name="xcir1" hidden="1">-3.14159265358979+(ROW(OFFSET(#REF!,0,0,500,1))-1)*0.0125915537218</definedName>
  </definedNames>
  <calcPr calcId="152511"/>
</workbook>
</file>

<file path=xl/calcChain.xml><?xml version="1.0" encoding="utf-8"?>
<calcChain xmlns="http://schemas.openxmlformats.org/spreadsheetml/2006/main">
  <c r="D4" i="14" l="1"/>
  <c r="E4" i="14"/>
  <c r="F4" i="14"/>
  <c r="F18" i="14" s="1"/>
  <c r="G4" i="14"/>
  <c r="H4" i="14"/>
  <c r="I4" i="14"/>
  <c r="J4" i="14"/>
  <c r="J18" i="14" s="1"/>
  <c r="K4" i="14"/>
  <c r="L4" i="14"/>
  <c r="M4" i="14"/>
  <c r="N4" i="14"/>
  <c r="O4" i="14"/>
  <c r="E5" i="14"/>
  <c r="Q5" i="14" s="1"/>
  <c r="F5" i="14"/>
  <c r="G5" i="14"/>
  <c r="H5" i="14"/>
  <c r="I5" i="14"/>
  <c r="J5" i="14"/>
  <c r="K5" i="14"/>
  <c r="L5" i="14"/>
  <c r="M5" i="14"/>
  <c r="N5" i="14"/>
  <c r="O5" i="14"/>
  <c r="F6" i="14"/>
  <c r="Q6" i="14" s="1"/>
  <c r="G6" i="14"/>
  <c r="H6" i="14"/>
  <c r="I6" i="14"/>
  <c r="J6" i="14"/>
  <c r="K6" i="14"/>
  <c r="L6" i="14"/>
  <c r="M6" i="14"/>
  <c r="N6" i="14"/>
  <c r="O6" i="14"/>
  <c r="U6" i="14"/>
  <c r="W6" i="14"/>
  <c r="Y6" i="14" s="1"/>
  <c r="AE5" i="14" s="1"/>
  <c r="AW6" i="14"/>
  <c r="AX6" i="14"/>
  <c r="G7" i="14"/>
  <c r="H7" i="14"/>
  <c r="I7" i="14"/>
  <c r="Q7" i="14" s="1"/>
  <c r="J7" i="14"/>
  <c r="K7" i="14"/>
  <c r="L7" i="14"/>
  <c r="M7" i="14"/>
  <c r="N7" i="14"/>
  <c r="O7" i="14"/>
  <c r="U7" i="14"/>
  <c r="W7" i="14"/>
  <c r="Y7" i="14" s="1"/>
  <c r="AE6" i="14" s="1"/>
  <c r="AW7" i="14"/>
  <c r="AX7" i="14"/>
  <c r="AY7" i="14"/>
  <c r="BA7" i="14" s="1"/>
  <c r="H8" i="14"/>
  <c r="I8" i="14"/>
  <c r="Q8" i="14" s="1"/>
  <c r="J8" i="14"/>
  <c r="K8" i="14"/>
  <c r="L8" i="14"/>
  <c r="M8" i="14"/>
  <c r="N8" i="14"/>
  <c r="O8" i="14"/>
  <c r="U8" i="14"/>
  <c r="W8" i="14"/>
  <c r="Y8" i="14" s="1"/>
  <c r="AE7" i="14" s="1"/>
  <c r="AW8" i="14"/>
  <c r="AX8" i="14"/>
  <c r="I9" i="14"/>
  <c r="J9" i="14"/>
  <c r="K9" i="14"/>
  <c r="L9" i="14"/>
  <c r="M9" i="14"/>
  <c r="N9" i="14"/>
  <c r="O9" i="14"/>
  <c r="Q9" i="14"/>
  <c r="U9" i="14"/>
  <c r="W9" i="14"/>
  <c r="AY9" i="14" s="1"/>
  <c r="BA9" i="14" s="1"/>
  <c r="Y9" i="14"/>
  <c r="AE8" i="14" s="1"/>
  <c r="AW9" i="14"/>
  <c r="AX9" i="14"/>
  <c r="J10" i="14"/>
  <c r="K10" i="14"/>
  <c r="K18" i="14" s="1"/>
  <c r="L10" i="14"/>
  <c r="M10" i="14"/>
  <c r="N10" i="14"/>
  <c r="O10" i="14"/>
  <c r="O18" i="14" s="1"/>
  <c r="U10" i="14"/>
  <c r="W10" i="14"/>
  <c r="AY10" i="14" s="1"/>
  <c r="BA10" i="14" s="1"/>
  <c r="Y10" i="14"/>
  <c r="AE9" i="14" s="1"/>
  <c r="AE10" i="14"/>
  <c r="AW10" i="14"/>
  <c r="AX10" i="14"/>
  <c r="K11" i="14"/>
  <c r="Q11" i="14" s="1"/>
  <c r="L11" i="14"/>
  <c r="M11" i="14"/>
  <c r="N11" i="14"/>
  <c r="O11" i="14"/>
  <c r="U11" i="14"/>
  <c r="W11" i="14"/>
  <c r="AY11" i="14" s="1"/>
  <c r="BA11" i="14" s="1"/>
  <c r="Y11" i="14"/>
  <c r="AE11" i="14"/>
  <c r="AW11" i="14"/>
  <c r="AX11" i="14"/>
  <c r="L12" i="14"/>
  <c r="M12" i="14"/>
  <c r="N12" i="14"/>
  <c r="O12" i="14"/>
  <c r="Q12" i="14"/>
  <c r="U12" i="14"/>
  <c r="W12" i="14"/>
  <c r="Y12" i="14"/>
  <c r="AF12" i="14"/>
  <c r="AM5" i="14" s="1"/>
  <c r="AW12" i="14"/>
  <c r="AX12" i="14"/>
  <c r="AY12" i="14"/>
  <c r="BA12" i="14"/>
  <c r="M13" i="14"/>
  <c r="Q13" i="14" s="1"/>
  <c r="N13" i="14"/>
  <c r="O13" i="14"/>
  <c r="U13" i="14"/>
  <c r="W13" i="14"/>
  <c r="Y13" i="14" s="1"/>
  <c r="AE12" i="14" s="1"/>
  <c r="AW13" i="14"/>
  <c r="AX13" i="14"/>
  <c r="N14" i="14"/>
  <c r="O14" i="14"/>
  <c r="Q14" i="14"/>
  <c r="U14" i="14"/>
  <c r="W14" i="14"/>
  <c r="Y14" i="14" s="1"/>
  <c r="AE13" i="14" s="1"/>
  <c r="AW14" i="14"/>
  <c r="AX14" i="14"/>
  <c r="AY14" i="14"/>
  <c r="BA14" i="14"/>
  <c r="O15" i="14"/>
  <c r="Q15" i="14" s="1"/>
  <c r="U15" i="14"/>
  <c r="W15" i="14"/>
  <c r="AY15" i="14" s="1"/>
  <c r="BA15" i="14" s="1"/>
  <c r="Y15" i="14"/>
  <c r="AE14" i="14" s="1"/>
  <c r="AW15" i="14"/>
  <c r="AX15" i="14"/>
  <c r="Q16" i="14"/>
  <c r="U16" i="14"/>
  <c r="W16" i="14"/>
  <c r="Y16" i="14" s="1"/>
  <c r="AE15" i="14" s="1"/>
  <c r="AW16" i="14"/>
  <c r="AX16" i="14"/>
  <c r="AY16" i="14"/>
  <c r="BA16" i="14" s="1"/>
  <c r="U17" i="14"/>
  <c r="W17" i="14"/>
  <c r="Y17" i="14"/>
  <c r="AE16" i="14" s="1"/>
  <c r="AW17" i="14"/>
  <c r="AX17" i="14"/>
  <c r="AY17" i="14"/>
  <c r="BA17" i="14" s="1"/>
  <c r="C18" i="14"/>
  <c r="D18" i="14"/>
  <c r="E18" i="14"/>
  <c r="G18" i="14"/>
  <c r="H18" i="14"/>
  <c r="I18" i="14"/>
  <c r="L18" i="14"/>
  <c r="M18" i="14"/>
  <c r="U18" i="14"/>
  <c r="W18" i="14"/>
  <c r="Y18" i="14" s="1"/>
  <c r="AF6" i="14" s="1"/>
  <c r="AG5" i="14" s="1"/>
  <c r="AW18" i="14"/>
  <c r="AX18" i="14"/>
  <c r="AY18" i="14"/>
  <c r="BA18" i="14" s="1"/>
  <c r="U19" i="14"/>
  <c r="W19" i="14"/>
  <c r="Y19" i="14" s="1"/>
  <c r="AF7" i="14" s="1"/>
  <c r="AH5" i="14" s="1"/>
  <c r="AW19" i="14"/>
  <c r="AX19" i="14"/>
  <c r="AY19" i="14"/>
  <c r="BA19" i="14" s="1"/>
  <c r="U20" i="14"/>
  <c r="W20" i="14"/>
  <c r="Y20" i="14"/>
  <c r="AF8" i="14" s="1"/>
  <c r="AI5" i="14" s="1"/>
  <c r="AW20" i="14"/>
  <c r="AX20" i="14"/>
  <c r="AY20" i="14"/>
  <c r="BA20" i="14" s="1"/>
  <c r="U21" i="14"/>
  <c r="W21" i="14"/>
  <c r="Y21" i="14"/>
  <c r="AF9" i="14" s="1"/>
  <c r="AJ5" i="14" s="1"/>
  <c r="AW21" i="14"/>
  <c r="AX21" i="14"/>
  <c r="AY21" i="14"/>
  <c r="BA21" i="14" s="1"/>
  <c r="U22" i="14"/>
  <c r="W22" i="14"/>
  <c r="AW22" i="14"/>
  <c r="AX22" i="14"/>
  <c r="U23" i="14"/>
  <c r="W23" i="14"/>
  <c r="Y23" i="14" s="1"/>
  <c r="AF11" i="14" s="1"/>
  <c r="AL5" i="14" s="1"/>
  <c r="AW23" i="14"/>
  <c r="AX23" i="14"/>
  <c r="AY23" i="14"/>
  <c r="BA23" i="14"/>
  <c r="U24" i="14"/>
  <c r="W24" i="14"/>
  <c r="Y24" i="14" s="1"/>
  <c r="AW24" i="14"/>
  <c r="AX24" i="14"/>
  <c r="U25" i="14"/>
  <c r="W25" i="14"/>
  <c r="AW25" i="14"/>
  <c r="AX25" i="14"/>
  <c r="U26" i="14"/>
  <c r="W26" i="14"/>
  <c r="AY26" i="14" s="1"/>
  <c r="Y26" i="14"/>
  <c r="AF14" i="14" s="1"/>
  <c r="AO5" i="14" s="1"/>
  <c r="AW26" i="14"/>
  <c r="AX26" i="14"/>
  <c r="BA26" i="14"/>
  <c r="U27" i="14"/>
  <c r="W27" i="14"/>
  <c r="AY27" i="14" s="1"/>
  <c r="BA27" i="14" s="1"/>
  <c r="Y27" i="14"/>
  <c r="AF15" i="14" s="1"/>
  <c r="AP5" i="14" s="1"/>
  <c r="AW27" i="14"/>
  <c r="AX27" i="14"/>
  <c r="U28" i="14"/>
  <c r="W28" i="14"/>
  <c r="Y28" i="14" s="1"/>
  <c r="AF16" i="14" s="1"/>
  <c r="AQ5" i="14" s="1"/>
  <c r="AW28" i="14"/>
  <c r="AX28" i="14"/>
  <c r="U29" i="14"/>
  <c r="W29" i="14"/>
  <c r="Y29" i="14"/>
  <c r="AG7" i="14" s="1"/>
  <c r="AH6" i="14" s="1"/>
  <c r="AW29" i="14"/>
  <c r="AX29" i="14"/>
  <c r="AY29" i="14"/>
  <c r="BA29" i="14" s="1"/>
  <c r="U30" i="14"/>
  <c r="W30" i="14"/>
  <c r="Y30" i="14"/>
  <c r="AG8" i="14" s="1"/>
  <c r="AI6" i="14" s="1"/>
  <c r="AW30" i="14"/>
  <c r="AX30" i="14"/>
  <c r="AY30" i="14"/>
  <c r="BA30" i="14"/>
  <c r="U31" i="14"/>
  <c r="W31" i="14"/>
  <c r="AW31" i="14"/>
  <c r="AX31" i="14"/>
  <c r="U32" i="14"/>
  <c r="W32" i="14"/>
  <c r="Y32" i="14"/>
  <c r="AG10" i="14" s="1"/>
  <c r="AK6" i="14" s="1"/>
  <c r="AW32" i="14"/>
  <c r="AX32" i="14"/>
  <c r="AY32" i="14"/>
  <c r="BA32" i="14" s="1"/>
  <c r="U33" i="14"/>
  <c r="W33" i="14"/>
  <c r="AW33" i="14"/>
  <c r="AX33" i="14"/>
  <c r="U34" i="14"/>
  <c r="W34" i="14"/>
  <c r="Y34" i="14" s="1"/>
  <c r="AG12" i="14" s="1"/>
  <c r="AM6" i="14" s="1"/>
  <c r="AW34" i="14"/>
  <c r="AX34" i="14"/>
  <c r="AY34" i="14"/>
  <c r="BA34" i="14"/>
  <c r="U35" i="14"/>
  <c r="W35" i="14"/>
  <c r="Y35" i="14"/>
  <c r="AG13" i="14" s="1"/>
  <c r="AN6" i="14" s="1"/>
  <c r="AW35" i="14"/>
  <c r="AX35" i="14"/>
  <c r="AY35" i="14"/>
  <c r="BA35" i="14" s="1"/>
  <c r="U36" i="14"/>
  <c r="W36" i="14"/>
  <c r="AW36" i="14"/>
  <c r="AX36" i="14"/>
  <c r="U37" i="14"/>
  <c r="W37" i="14"/>
  <c r="AW37" i="14"/>
  <c r="AX37" i="14"/>
  <c r="U38" i="14"/>
  <c r="W38" i="14"/>
  <c r="AY38" i="14" s="1"/>
  <c r="BA38" i="14" s="1"/>
  <c r="AW38" i="14"/>
  <c r="AX38" i="14"/>
  <c r="U39" i="14"/>
  <c r="W39" i="14"/>
  <c r="Y39" i="14" s="1"/>
  <c r="AH8" i="14" s="1"/>
  <c r="AI7" i="14" s="1"/>
  <c r="AW39" i="14"/>
  <c r="AX39" i="14"/>
  <c r="AY39" i="14"/>
  <c r="BA39" i="14"/>
  <c r="U40" i="14"/>
  <c r="W40" i="14"/>
  <c r="Y40" i="14"/>
  <c r="AH9" i="14" s="1"/>
  <c r="AJ7" i="14" s="1"/>
  <c r="AW40" i="14"/>
  <c r="AX40" i="14"/>
  <c r="AY40" i="14"/>
  <c r="BA40" i="14"/>
  <c r="U41" i="14"/>
  <c r="W41" i="14"/>
  <c r="Y41" i="14"/>
  <c r="AH10" i="14" s="1"/>
  <c r="AK7" i="14" s="1"/>
  <c r="AW41" i="14"/>
  <c r="AX41" i="14"/>
  <c r="AY41" i="14"/>
  <c r="BA41" i="14" s="1"/>
  <c r="U42" i="14"/>
  <c r="W42" i="14"/>
  <c r="Y42" i="14"/>
  <c r="AH11" i="14" s="1"/>
  <c r="AL7" i="14" s="1"/>
  <c r="AW42" i="14"/>
  <c r="AX42" i="14"/>
  <c r="AY42" i="14"/>
  <c r="BA42" i="14" s="1"/>
  <c r="U43" i="14"/>
  <c r="W43" i="14"/>
  <c r="AY43" i="14" s="1"/>
  <c r="BA43" i="14" s="1"/>
  <c r="Y43" i="14"/>
  <c r="AH12" i="14" s="1"/>
  <c r="AM7" i="14" s="1"/>
  <c r="AW43" i="14"/>
  <c r="AX43" i="14"/>
  <c r="U44" i="14"/>
  <c r="W44" i="14"/>
  <c r="AW44" i="14"/>
  <c r="AX44" i="14"/>
  <c r="U45" i="14"/>
  <c r="W45" i="14"/>
  <c r="AW45" i="14"/>
  <c r="AX45" i="14"/>
  <c r="U46" i="14"/>
  <c r="W46" i="14"/>
  <c r="AY46" i="14" s="1"/>
  <c r="BA46" i="14" s="1"/>
  <c r="AW46" i="14"/>
  <c r="AX46" i="14"/>
  <c r="U47" i="14"/>
  <c r="W47" i="14"/>
  <c r="Y47" i="14" s="1"/>
  <c r="AH16" i="14" s="1"/>
  <c r="AQ7" i="14" s="1"/>
  <c r="AW47" i="14"/>
  <c r="AX47" i="14"/>
  <c r="AY47" i="14"/>
  <c r="BA47" i="14"/>
  <c r="U48" i="14"/>
  <c r="W48" i="14"/>
  <c r="Y48" i="14"/>
  <c r="AI9" i="14" s="1"/>
  <c r="AJ8" i="14" s="1"/>
  <c r="AW48" i="14"/>
  <c r="AX48" i="14"/>
  <c r="AY48" i="14"/>
  <c r="BA48" i="14"/>
  <c r="U49" i="14"/>
  <c r="W49" i="14"/>
  <c r="Y49" i="14"/>
  <c r="AI10" i="14" s="1"/>
  <c r="AK8" i="14" s="1"/>
  <c r="AW49" i="14"/>
  <c r="AX49" i="14"/>
  <c r="AY49" i="14"/>
  <c r="BA49" i="14" s="1"/>
  <c r="U50" i="14"/>
  <c r="W50" i="14"/>
  <c r="Y50" i="14"/>
  <c r="AI11" i="14" s="1"/>
  <c r="AL8" i="14" s="1"/>
  <c r="AW50" i="14"/>
  <c r="AX50" i="14"/>
  <c r="AY50" i="14"/>
  <c r="BA50" i="14" s="1"/>
  <c r="U51" i="14"/>
  <c r="W51" i="14"/>
  <c r="AY51" i="14" s="1"/>
  <c r="BA51" i="14" s="1"/>
  <c r="Y51" i="14"/>
  <c r="AI12" i="14" s="1"/>
  <c r="AM8" i="14" s="1"/>
  <c r="AW51" i="14"/>
  <c r="AX51" i="14"/>
  <c r="U52" i="14"/>
  <c r="W52" i="14"/>
  <c r="AW52" i="14"/>
  <c r="AX52" i="14"/>
  <c r="U53" i="14"/>
  <c r="W53" i="14"/>
  <c r="AW53" i="14"/>
  <c r="AX53" i="14"/>
  <c r="AZ53" i="14"/>
  <c r="BC53" i="14" s="1"/>
  <c r="U54" i="14"/>
  <c r="W54" i="14"/>
  <c r="AY54" i="14" s="1"/>
  <c r="BA54" i="14" s="1"/>
  <c r="AW54" i="14"/>
  <c r="AX54" i="14"/>
  <c r="Q55" i="14"/>
  <c r="G56" i="14" s="1"/>
  <c r="U55" i="14"/>
  <c r="W55" i="14"/>
  <c r="Y55" i="14" s="1"/>
  <c r="AI16" i="14" s="1"/>
  <c r="AQ8" i="14" s="1"/>
  <c r="AS55" i="14"/>
  <c r="AM56" i="14" s="1"/>
  <c r="AW55" i="14"/>
  <c r="AX55" i="14"/>
  <c r="C56" i="14"/>
  <c r="C57" i="14" s="1"/>
  <c r="D56" i="14"/>
  <c r="F56" i="14"/>
  <c r="K56" i="14"/>
  <c r="L56" i="14"/>
  <c r="N56" i="14"/>
  <c r="U56" i="14"/>
  <c r="W56" i="14"/>
  <c r="AY56" i="14" s="1"/>
  <c r="BA56" i="14" s="1"/>
  <c r="Y56" i="14"/>
  <c r="AJ10" i="14" s="1"/>
  <c r="AK9" i="14" s="1"/>
  <c r="AJ56" i="14"/>
  <c r="AK56" i="14"/>
  <c r="AW56" i="14"/>
  <c r="AX56" i="14"/>
  <c r="D57" i="14"/>
  <c r="U57" i="14"/>
  <c r="W57" i="14"/>
  <c r="Y57" i="14" s="1"/>
  <c r="AJ11" i="14" s="1"/>
  <c r="AL9" i="14" s="1"/>
  <c r="AW57" i="14"/>
  <c r="AX57" i="14"/>
  <c r="AY57" i="14"/>
  <c r="BA57" i="14"/>
  <c r="U58" i="14"/>
  <c r="W58" i="14"/>
  <c r="Y58" i="14"/>
  <c r="AJ12" i="14" s="1"/>
  <c r="AM9" i="14" s="1"/>
  <c r="AW58" i="14"/>
  <c r="AX58" i="14"/>
  <c r="AY58" i="14"/>
  <c r="BA58" i="14" s="1"/>
  <c r="U59" i="14"/>
  <c r="W59" i="14"/>
  <c r="Y59" i="14"/>
  <c r="AJ13" i="14" s="1"/>
  <c r="AN9" i="14" s="1"/>
  <c r="AW59" i="14"/>
  <c r="AX59" i="14"/>
  <c r="AY59" i="14"/>
  <c r="BA59" i="14" s="1"/>
  <c r="U60" i="14"/>
  <c r="W60" i="14"/>
  <c r="AY60" i="14" s="1"/>
  <c r="BA60" i="14" s="1"/>
  <c r="AW60" i="14"/>
  <c r="AX60" i="14"/>
  <c r="U61" i="14"/>
  <c r="W61" i="14"/>
  <c r="Y61" i="14" s="1"/>
  <c r="AJ15" i="14" s="1"/>
  <c r="AP9" i="14" s="1"/>
  <c r="AW61" i="14"/>
  <c r="AX61" i="14"/>
  <c r="U62" i="14"/>
  <c r="W62" i="14"/>
  <c r="AY62" i="14" s="1"/>
  <c r="BA62" i="14" s="1"/>
  <c r="Y62" i="14"/>
  <c r="AJ16" i="14" s="1"/>
  <c r="AQ9" i="14" s="1"/>
  <c r="AW62" i="14"/>
  <c r="AX62" i="14"/>
  <c r="U63" i="14"/>
  <c r="W63" i="14"/>
  <c r="Y63" i="14"/>
  <c r="AK11" i="14" s="1"/>
  <c r="AL10" i="14" s="1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W63" i="14"/>
  <c r="AX63" i="14"/>
  <c r="AY63" i="14"/>
  <c r="BA63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U64" i="14"/>
  <c r="W64" i="14"/>
  <c r="Y64" i="14" s="1"/>
  <c r="AK12" i="14" s="1"/>
  <c r="AM10" i="14" s="1"/>
  <c r="X64" i="14"/>
  <c r="AE64" i="14"/>
  <c r="AZ6" i="14" s="1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W64" i="14"/>
  <c r="AX64" i="14"/>
  <c r="AY64" i="14"/>
  <c r="BA64" i="14" s="1"/>
  <c r="C65" i="14"/>
  <c r="X6" i="14" s="1"/>
  <c r="D65" i="14"/>
  <c r="E65" i="14"/>
  <c r="F65" i="14"/>
  <c r="G65" i="14"/>
  <c r="H65" i="14"/>
  <c r="I65" i="14"/>
  <c r="J65" i="14"/>
  <c r="K65" i="14"/>
  <c r="L65" i="14"/>
  <c r="M65" i="14"/>
  <c r="N65" i="14"/>
  <c r="O65" i="14"/>
  <c r="U65" i="14"/>
  <c r="W65" i="14"/>
  <c r="Y65" i="14"/>
  <c r="AK13" i="14" s="1"/>
  <c r="AN10" i="14" s="1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W65" i="14"/>
  <c r="AX65" i="14"/>
  <c r="AY65" i="14"/>
  <c r="BA65" i="14" s="1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U66" i="14"/>
  <c r="W66" i="14"/>
  <c r="AY66" i="14" s="1"/>
  <c r="BA66" i="14" s="1"/>
  <c r="Y66" i="14"/>
  <c r="AK14" i="14" s="1"/>
  <c r="AO10" i="14" s="1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W66" i="14"/>
  <c r="AX66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U67" i="14"/>
  <c r="W67" i="14"/>
  <c r="Y67" i="14" s="1"/>
  <c r="AK15" i="14" s="1"/>
  <c r="AP10" i="14" s="1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W67" i="14"/>
  <c r="AX67" i="14"/>
  <c r="AY67" i="14"/>
  <c r="BA67" i="14" s="1"/>
  <c r="C68" i="14"/>
  <c r="X39" i="14" s="1"/>
  <c r="D68" i="14"/>
  <c r="E68" i="14"/>
  <c r="F68" i="14"/>
  <c r="G68" i="14"/>
  <c r="H68" i="14"/>
  <c r="I68" i="14"/>
  <c r="J68" i="14"/>
  <c r="K68" i="14"/>
  <c r="L68" i="14"/>
  <c r="M68" i="14"/>
  <c r="N68" i="14"/>
  <c r="O68" i="14"/>
  <c r="U68" i="14"/>
  <c r="W68" i="14"/>
  <c r="Y68" i="14" s="1"/>
  <c r="AK16" i="14" s="1"/>
  <c r="AQ10" i="14" s="1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W68" i="14"/>
  <c r="AX68" i="14"/>
  <c r="AY68" i="14"/>
  <c r="BA68" i="14" s="1"/>
  <c r="AZ68" i="14"/>
  <c r="C69" i="14"/>
  <c r="X40" i="14" s="1"/>
  <c r="D69" i="14"/>
  <c r="E69" i="14"/>
  <c r="F69" i="14"/>
  <c r="G69" i="14"/>
  <c r="H69" i="14"/>
  <c r="I69" i="14"/>
  <c r="J69" i="14"/>
  <c r="K69" i="14"/>
  <c r="L69" i="14"/>
  <c r="M69" i="14"/>
  <c r="N69" i="14"/>
  <c r="O69" i="14"/>
  <c r="U69" i="14"/>
  <c r="W69" i="14"/>
  <c r="Y69" i="14" s="1"/>
  <c r="AL12" i="14" s="1"/>
  <c r="AM11" i="14" s="1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W69" i="14"/>
  <c r="AX69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U70" i="14"/>
  <c r="W70" i="14"/>
  <c r="Y70" i="14"/>
  <c r="AL13" i="14" s="1"/>
  <c r="AN11" i="14" s="1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W70" i="14"/>
  <c r="AX70" i="14"/>
  <c r="AY70" i="14"/>
  <c r="BA70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U71" i="14"/>
  <c r="W71" i="14"/>
  <c r="AE71" i="14"/>
  <c r="AZ69" i="14" s="1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W71" i="14"/>
  <c r="AX71" i="14"/>
  <c r="BC71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U72" i="14"/>
  <c r="W72" i="14"/>
  <c r="Y72" i="14" s="1"/>
  <c r="AL15" i="14" s="1"/>
  <c r="AP11" i="14" s="1"/>
  <c r="X72" i="14"/>
  <c r="AE72" i="14"/>
  <c r="AZ70" i="14" s="1"/>
  <c r="BC70" i="14" s="1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W72" i="14"/>
  <c r="AX72" i="14"/>
  <c r="AY72" i="14"/>
  <c r="BA72" i="14" s="1"/>
  <c r="C73" i="14"/>
  <c r="X80" i="14" s="1"/>
  <c r="D73" i="14"/>
  <c r="E73" i="14"/>
  <c r="F73" i="14"/>
  <c r="G73" i="14"/>
  <c r="H73" i="14"/>
  <c r="I73" i="14"/>
  <c r="J73" i="14"/>
  <c r="K73" i="14"/>
  <c r="L73" i="14"/>
  <c r="M73" i="14"/>
  <c r="N73" i="14"/>
  <c r="O73" i="14"/>
  <c r="U73" i="14"/>
  <c r="W73" i="14"/>
  <c r="Y73" i="14"/>
  <c r="AL16" i="14" s="1"/>
  <c r="AQ11" i="14" s="1"/>
  <c r="AE73" i="14"/>
  <c r="AZ71" i="14" s="1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W73" i="14"/>
  <c r="AX73" i="14"/>
  <c r="AY73" i="14"/>
  <c r="BA73" i="14" s="1"/>
  <c r="C74" i="14"/>
  <c r="X60" i="14" s="1"/>
  <c r="D74" i="14"/>
  <c r="E74" i="14"/>
  <c r="F74" i="14"/>
  <c r="G74" i="14"/>
  <c r="H74" i="14"/>
  <c r="I74" i="14"/>
  <c r="J74" i="14"/>
  <c r="K74" i="14"/>
  <c r="L74" i="14"/>
  <c r="M74" i="14"/>
  <c r="N74" i="14"/>
  <c r="O74" i="14"/>
  <c r="U74" i="14"/>
  <c r="W74" i="14"/>
  <c r="AY74" i="14" s="1"/>
  <c r="BA74" i="14" s="1"/>
  <c r="Y74" i="14"/>
  <c r="AM13" i="14" s="1"/>
  <c r="AN12" i="14" s="1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W74" i="14"/>
  <c r="AX74" i="14"/>
  <c r="AZ74" i="14"/>
  <c r="BB74" i="14" s="1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U75" i="14"/>
  <c r="W75" i="14"/>
  <c r="Y75" i="14" s="1"/>
  <c r="AM14" i="14" s="1"/>
  <c r="AO12" i="14" s="1"/>
  <c r="AE75" i="14"/>
  <c r="AF75" i="14"/>
  <c r="AZ73" i="14" s="1"/>
  <c r="AG75" i="14"/>
  <c r="AH75" i="14"/>
  <c r="AI75" i="14"/>
  <c r="AJ75" i="14"/>
  <c r="AK75" i="14"/>
  <c r="AL75" i="14"/>
  <c r="AM75" i="14"/>
  <c r="AN75" i="14"/>
  <c r="AO75" i="14"/>
  <c r="AP75" i="14"/>
  <c r="AQ75" i="14"/>
  <c r="AW75" i="14"/>
  <c r="AX75" i="14"/>
  <c r="AY75" i="14"/>
  <c r="BA75" i="14" s="1"/>
  <c r="C76" i="14"/>
  <c r="X73" i="14" s="1"/>
  <c r="D76" i="14"/>
  <c r="E76" i="14"/>
  <c r="F76" i="14"/>
  <c r="G76" i="14"/>
  <c r="H76" i="14"/>
  <c r="I76" i="14"/>
  <c r="J76" i="14"/>
  <c r="K76" i="14"/>
  <c r="L76" i="14"/>
  <c r="M76" i="14"/>
  <c r="N76" i="14"/>
  <c r="O76" i="14"/>
  <c r="U76" i="14"/>
  <c r="W76" i="14"/>
  <c r="Y76" i="14" s="1"/>
  <c r="AM15" i="14" s="1"/>
  <c r="AP12" i="14" s="1"/>
  <c r="X76" i="14"/>
  <c r="AW76" i="14"/>
  <c r="AX76" i="14"/>
  <c r="AY76" i="14"/>
  <c r="BA76" i="14" s="1"/>
  <c r="AZ76" i="14"/>
  <c r="BB76" i="14" s="1"/>
  <c r="U77" i="14"/>
  <c r="W77" i="14"/>
  <c r="AW77" i="14"/>
  <c r="AX77" i="14"/>
  <c r="AZ77" i="14"/>
  <c r="U78" i="14"/>
  <c r="W78" i="14"/>
  <c r="Y78" i="14"/>
  <c r="AN14" i="14" s="1"/>
  <c r="AO13" i="14" s="1"/>
  <c r="AW78" i="14"/>
  <c r="AX78" i="14"/>
  <c r="AY78" i="14"/>
  <c r="BA78" i="14" s="1"/>
  <c r="BB78" i="14" s="1"/>
  <c r="AZ78" i="14"/>
  <c r="BC78" i="14"/>
  <c r="U79" i="14"/>
  <c r="W79" i="14"/>
  <c r="Y79" i="14" s="1"/>
  <c r="AN15" i="14" s="1"/>
  <c r="AP13" i="14" s="1"/>
  <c r="AW79" i="14"/>
  <c r="AX79" i="14"/>
  <c r="AZ79" i="14"/>
  <c r="U80" i="14"/>
  <c r="W80" i="14"/>
  <c r="AY80" i="14" s="1"/>
  <c r="AW80" i="14"/>
  <c r="AX80" i="14"/>
  <c r="AZ80" i="14"/>
  <c r="BB80" i="14" s="1"/>
  <c r="BA80" i="14"/>
  <c r="U81" i="14"/>
  <c r="W81" i="14"/>
  <c r="Y81" i="14" s="1"/>
  <c r="AO15" i="14" s="1"/>
  <c r="AP14" i="14" s="1"/>
  <c r="AW81" i="14"/>
  <c r="AX81" i="14"/>
  <c r="AY81" i="14"/>
  <c r="BA81" i="14" s="1"/>
  <c r="AZ81" i="14"/>
  <c r="BB81" i="14" s="1"/>
  <c r="BC81" i="14"/>
  <c r="U82" i="14"/>
  <c r="W82" i="14"/>
  <c r="Y82" i="14"/>
  <c r="AO16" i="14" s="1"/>
  <c r="AQ14" i="14" s="1"/>
  <c r="AW82" i="14"/>
  <c r="AX82" i="14"/>
  <c r="AY82" i="14"/>
  <c r="BA82" i="14" s="1"/>
  <c r="U83" i="14"/>
  <c r="W83" i="14"/>
  <c r="AY83" i="14" s="1"/>
  <c r="BA83" i="14" s="1"/>
  <c r="BB83" i="14" s="1"/>
  <c r="X83" i="14"/>
  <c r="Z83" i="14" s="1"/>
  <c r="Y83" i="14"/>
  <c r="AP16" i="14" s="1"/>
  <c r="AQ15" i="14" s="1"/>
  <c r="AW83" i="14"/>
  <c r="AX83" i="14"/>
  <c r="AZ83" i="14"/>
  <c r="BC83" i="14" s="1"/>
  <c r="O6" i="13"/>
  <c r="R6" i="13"/>
  <c r="S6" i="13"/>
  <c r="P7" i="13"/>
  <c r="I8" i="13"/>
  <c r="O7" i="13" s="1"/>
  <c r="P6" i="13" s="1"/>
  <c r="O8" i="13"/>
  <c r="Q6" i="13" s="1"/>
  <c r="P8" i="13"/>
  <c r="Q7" i="13" s="1"/>
  <c r="Q8" i="13"/>
  <c r="I9" i="13"/>
  <c r="O9" i="13"/>
  <c r="P9" i="13"/>
  <c r="R7" i="13" s="1"/>
  <c r="Q9" i="13"/>
  <c r="R8" i="13" s="1"/>
  <c r="R9" i="13"/>
  <c r="O10" i="13"/>
  <c r="P10" i="13"/>
  <c r="S7" i="13" s="1"/>
  <c r="Q10" i="13"/>
  <c r="S8" i="13" s="1"/>
  <c r="R10" i="13"/>
  <c r="S9" i="13" s="1"/>
  <c r="S10" i="13"/>
  <c r="C11" i="13"/>
  <c r="C13" i="13"/>
  <c r="C28" i="13" s="1"/>
  <c r="J14" i="13"/>
  <c r="K14" i="13"/>
  <c r="I15" i="13"/>
  <c r="J15" i="13"/>
  <c r="K15" i="13"/>
  <c r="I16" i="13"/>
  <c r="J16" i="13"/>
  <c r="K16" i="13"/>
  <c r="I17" i="13"/>
  <c r="J17" i="13"/>
  <c r="K17" i="13"/>
  <c r="C18" i="13"/>
  <c r="I18" i="13"/>
  <c r="J18" i="13"/>
  <c r="K18" i="13"/>
  <c r="I19" i="13"/>
  <c r="J19" i="13"/>
  <c r="K19" i="13"/>
  <c r="D28" i="13"/>
  <c r="E28" i="13"/>
  <c r="C29" i="13"/>
  <c r="D29" i="13"/>
  <c r="E29" i="13"/>
  <c r="C30" i="13"/>
  <c r="D30" i="13"/>
  <c r="E30" i="13"/>
  <c r="AF30" i="13"/>
  <c r="C31" i="13"/>
  <c r="D31" i="13"/>
  <c r="E31" i="13"/>
  <c r="AC31" i="13"/>
  <c r="AC32" i="13"/>
  <c r="AE30" i="13" s="1"/>
  <c r="AC33" i="13"/>
  <c r="AC40" i="13"/>
  <c r="AD39" i="13" s="1"/>
  <c r="AC41" i="13"/>
  <c r="AE39" i="13" s="1"/>
  <c r="AD47" i="13"/>
  <c r="AC48" i="13"/>
  <c r="AD82" i="13" s="1"/>
  <c r="AG79" i="13" s="1"/>
  <c r="O55" i="13"/>
  <c r="V55" i="13"/>
  <c r="X55" i="13"/>
  <c r="Y55" i="13"/>
  <c r="O56" i="13"/>
  <c r="P55" i="13" s="1"/>
  <c r="P56" i="13"/>
  <c r="S56" i="13"/>
  <c r="V56" i="13"/>
  <c r="X65" i="13" s="1"/>
  <c r="W56" i="13"/>
  <c r="Y56" i="13"/>
  <c r="O57" i="13"/>
  <c r="Q55" i="13" s="1"/>
  <c r="P57" i="13"/>
  <c r="Q56" i="13" s="1"/>
  <c r="Q57" i="13"/>
  <c r="R57" i="13"/>
  <c r="V57" i="13"/>
  <c r="W57" i="13"/>
  <c r="X56" i="13" s="1"/>
  <c r="X57" i="13"/>
  <c r="O58" i="13"/>
  <c r="Q67" i="13" s="1"/>
  <c r="P58" i="13"/>
  <c r="R56" i="13" s="1"/>
  <c r="Q58" i="13"/>
  <c r="Q72" i="13" s="1"/>
  <c r="R58" i="13"/>
  <c r="S58" i="13"/>
  <c r="V58" i="13"/>
  <c r="X67" i="13" s="1"/>
  <c r="W58" i="13"/>
  <c r="X70" i="13" s="1"/>
  <c r="X58" i="13"/>
  <c r="X72" i="13" s="1"/>
  <c r="Y58" i="13"/>
  <c r="Z58" i="13"/>
  <c r="O59" i="13"/>
  <c r="S55" i="13" s="1"/>
  <c r="P59" i="13"/>
  <c r="Q59" i="13"/>
  <c r="S57" i="13" s="1"/>
  <c r="R59" i="13"/>
  <c r="Q74" i="13" s="1"/>
  <c r="S59" i="13"/>
  <c r="V59" i="13"/>
  <c r="W59" i="13"/>
  <c r="Z56" i="13" s="1"/>
  <c r="X59" i="13"/>
  <c r="X73" i="13" s="1"/>
  <c r="Y59" i="13"/>
  <c r="X74" i="13" s="1"/>
  <c r="Z59" i="13"/>
  <c r="P65" i="13"/>
  <c r="Q65" i="13"/>
  <c r="P66" i="13"/>
  <c r="Q66" i="13"/>
  <c r="W66" i="13"/>
  <c r="X66" i="13"/>
  <c r="P67" i="13"/>
  <c r="W67" i="13"/>
  <c r="AD90" i="13" s="1"/>
  <c r="P68" i="13"/>
  <c r="Q68" i="13"/>
  <c r="W68" i="13"/>
  <c r="AD91" i="13" s="1"/>
  <c r="P69" i="13"/>
  <c r="Q69" i="13"/>
  <c r="W69" i="13"/>
  <c r="AD92" i="13" s="1"/>
  <c r="P70" i="13"/>
  <c r="W70" i="13"/>
  <c r="P71" i="13"/>
  <c r="Q71" i="13"/>
  <c r="W71" i="13"/>
  <c r="AD94" i="13" s="1"/>
  <c r="P72" i="13"/>
  <c r="W72" i="13"/>
  <c r="P73" i="13"/>
  <c r="W73" i="13"/>
  <c r="AD96" i="13" s="1"/>
  <c r="P74" i="13"/>
  <c r="W74" i="13"/>
  <c r="AC78" i="13"/>
  <c r="AD79" i="13"/>
  <c r="AE79" i="13"/>
  <c r="AC80" i="13"/>
  <c r="AE78" i="13" s="1"/>
  <c r="AD80" i="13"/>
  <c r="AE80" i="13"/>
  <c r="AE81" i="13"/>
  <c r="AF80" i="13" s="1"/>
  <c r="AF81" i="13"/>
  <c r="AC82" i="13"/>
  <c r="AG78" i="13" s="1"/>
  <c r="AG82" i="13"/>
  <c r="AD89" i="13"/>
  <c r="AE89" i="13"/>
  <c r="AE92" i="13"/>
  <c r="AD93" i="13"/>
  <c r="AE94" i="13"/>
  <c r="AD95" i="13"/>
  <c r="AD97" i="13"/>
  <c r="B33" i="12"/>
  <c r="C33" i="12"/>
  <c r="E33" i="12"/>
  <c r="F33" i="12"/>
  <c r="H33" i="12"/>
  <c r="I33" i="12"/>
  <c r="K33" i="12"/>
  <c r="L33" i="12"/>
  <c r="N33" i="12"/>
  <c r="O33" i="12"/>
  <c r="Q33" i="12"/>
  <c r="R33" i="12"/>
  <c r="B34" i="12"/>
  <c r="C34" i="12"/>
  <c r="E34" i="12"/>
  <c r="F34" i="12"/>
  <c r="H34" i="12"/>
  <c r="I34" i="12"/>
  <c r="K34" i="12"/>
  <c r="L34" i="12"/>
  <c r="N34" i="12"/>
  <c r="O34" i="12"/>
  <c r="Q34" i="12"/>
  <c r="R34" i="12"/>
  <c r="AK34" i="12"/>
  <c r="AL34" i="12"/>
  <c r="BH34" i="12"/>
  <c r="BH35" i="12" s="1"/>
  <c r="BI35" i="12" s="1"/>
  <c r="BI34" i="12"/>
  <c r="B35" i="12"/>
  <c r="C35" i="12"/>
  <c r="E35" i="12"/>
  <c r="F35" i="12"/>
  <c r="H35" i="12"/>
  <c r="I35" i="12"/>
  <c r="K35" i="12"/>
  <c r="L35" i="12"/>
  <c r="N35" i="12"/>
  <c r="O35" i="12"/>
  <c r="Q35" i="12"/>
  <c r="R35" i="12"/>
  <c r="AK35" i="12"/>
  <c r="AL35" i="12" s="1"/>
  <c r="B36" i="12"/>
  <c r="C36" i="12"/>
  <c r="E36" i="12"/>
  <c r="F36" i="12"/>
  <c r="H36" i="12"/>
  <c r="I36" i="12"/>
  <c r="K36" i="12"/>
  <c r="L36" i="12"/>
  <c r="N36" i="12"/>
  <c r="O36" i="12"/>
  <c r="Q36" i="12"/>
  <c r="R36" i="12"/>
  <c r="AK36" i="12"/>
  <c r="AL36" i="12"/>
  <c r="B37" i="12"/>
  <c r="C37" i="12"/>
  <c r="E37" i="12"/>
  <c r="F37" i="12"/>
  <c r="H37" i="12"/>
  <c r="I37" i="12"/>
  <c r="K37" i="12"/>
  <c r="L37" i="12"/>
  <c r="N37" i="12"/>
  <c r="O37" i="12"/>
  <c r="Q37" i="12"/>
  <c r="R37" i="12"/>
  <c r="B38" i="12"/>
  <c r="C38" i="12"/>
  <c r="E38" i="12"/>
  <c r="F38" i="12"/>
  <c r="H38" i="12"/>
  <c r="I38" i="12"/>
  <c r="K38" i="12"/>
  <c r="L38" i="12"/>
  <c r="N38" i="12"/>
  <c r="O38" i="12"/>
  <c r="Q38" i="12"/>
  <c r="R38" i="12"/>
  <c r="B39" i="12"/>
  <c r="C39" i="12"/>
  <c r="E39" i="12"/>
  <c r="F39" i="12"/>
  <c r="H39" i="12"/>
  <c r="I39" i="12"/>
  <c r="K39" i="12"/>
  <c r="L39" i="12"/>
  <c r="N39" i="12"/>
  <c r="O39" i="12"/>
  <c r="Q39" i="12"/>
  <c r="R39" i="12"/>
  <c r="B40" i="12"/>
  <c r="C40" i="12"/>
  <c r="E40" i="12"/>
  <c r="F40" i="12"/>
  <c r="H40" i="12"/>
  <c r="I40" i="12"/>
  <c r="K40" i="12"/>
  <c r="L40" i="12"/>
  <c r="N40" i="12"/>
  <c r="O40" i="12"/>
  <c r="Q40" i="12"/>
  <c r="R40" i="12"/>
  <c r="B42" i="12"/>
  <c r="C42" i="12"/>
  <c r="E42" i="12"/>
  <c r="F42" i="12"/>
  <c r="BS43" i="12"/>
  <c r="W48" i="12"/>
  <c r="BG48" i="12"/>
  <c r="BH48" i="12"/>
  <c r="AJ49" i="12"/>
  <c r="AK49" i="12"/>
  <c r="BG49" i="12"/>
  <c r="BH49" i="12"/>
  <c r="B50" i="12"/>
  <c r="V6" i="12" s="1"/>
  <c r="C50" i="12"/>
  <c r="W6" i="12" s="1"/>
  <c r="E50" i="12"/>
  <c r="F50" i="12"/>
  <c r="H50" i="12"/>
  <c r="V31" i="12" s="1"/>
  <c r="I50" i="12"/>
  <c r="W31" i="12" s="1"/>
  <c r="K50" i="12"/>
  <c r="L50" i="12"/>
  <c r="N50" i="12"/>
  <c r="O50" i="12"/>
  <c r="Q50" i="12"/>
  <c r="R50" i="12"/>
  <c r="AJ50" i="12"/>
  <c r="AK50" i="12"/>
  <c r="BG50" i="12"/>
  <c r="BH50" i="12"/>
  <c r="B51" i="12"/>
  <c r="V7" i="12" s="1"/>
  <c r="C51" i="12"/>
  <c r="W7" i="12" s="1"/>
  <c r="E51" i="12"/>
  <c r="F51" i="12"/>
  <c r="H51" i="12"/>
  <c r="V32" i="12" s="1"/>
  <c r="I51" i="12"/>
  <c r="W32" i="12" s="1"/>
  <c r="K51" i="12"/>
  <c r="L51" i="12"/>
  <c r="N51" i="12"/>
  <c r="V57" i="12" s="1"/>
  <c r="O51" i="12"/>
  <c r="Q51" i="12"/>
  <c r="R51" i="12"/>
  <c r="AJ51" i="12"/>
  <c r="AK51" i="12"/>
  <c r="BG51" i="12"/>
  <c r="BH51" i="12"/>
  <c r="B52" i="12"/>
  <c r="V8" i="12" s="1"/>
  <c r="C52" i="12"/>
  <c r="W8" i="12" s="1"/>
  <c r="E52" i="12"/>
  <c r="F52" i="12"/>
  <c r="H52" i="12"/>
  <c r="V33" i="12" s="1"/>
  <c r="I52" i="12"/>
  <c r="W33" i="12" s="1"/>
  <c r="K52" i="12"/>
  <c r="L52" i="12"/>
  <c r="N52" i="12"/>
  <c r="O52" i="12"/>
  <c r="Q52" i="12"/>
  <c r="R52" i="12"/>
  <c r="AJ52" i="12"/>
  <c r="AK52" i="12"/>
  <c r="B53" i="12"/>
  <c r="V9" i="12" s="1"/>
  <c r="C53" i="12"/>
  <c r="E53" i="12"/>
  <c r="F53" i="12"/>
  <c r="H53" i="12"/>
  <c r="V34" i="12" s="1"/>
  <c r="I53" i="12"/>
  <c r="W34" i="12" s="1"/>
  <c r="K53" i="12"/>
  <c r="L53" i="12"/>
  <c r="N53" i="12"/>
  <c r="O53" i="12"/>
  <c r="Q53" i="12"/>
  <c r="R53" i="12"/>
  <c r="B54" i="12"/>
  <c r="V10" i="12" s="1"/>
  <c r="C54" i="12"/>
  <c r="W10" i="12" s="1"/>
  <c r="E54" i="12"/>
  <c r="F54" i="12"/>
  <c r="H54" i="12"/>
  <c r="V35" i="12" s="1"/>
  <c r="I54" i="12"/>
  <c r="W35" i="12" s="1"/>
  <c r="K54" i="12"/>
  <c r="L54" i="12"/>
  <c r="N54" i="12"/>
  <c r="O54" i="12"/>
  <c r="W60" i="12" s="1"/>
  <c r="Q54" i="12"/>
  <c r="R54" i="12"/>
  <c r="B55" i="12"/>
  <c r="V11" i="12" s="1"/>
  <c r="C55" i="12"/>
  <c r="W11" i="12" s="1"/>
  <c r="E55" i="12"/>
  <c r="F55" i="12"/>
  <c r="H55" i="12"/>
  <c r="V36" i="12" s="1"/>
  <c r="I55" i="12"/>
  <c r="W36" i="12" s="1"/>
  <c r="K55" i="12"/>
  <c r="L55" i="12"/>
  <c r="N55" i="12"/>
  <c r="O55" i="12"/>
  <c r="W61" i="12" s="1"/>
  <c r="Q55" i="12"/>
  <c r="R55" i="12"/>
  <c r="B56" i="12"/>
  <c r="V12" i="12" s="1"/>
  <c r="C56" i="12"/>
  <c r="W12" i="12" s="1"/>
  <c r="E56" i="12"/>
  <c r="F56" i="12"/>
  <c r="H56" i="12"/>
  <c r="V37" i="12" s="1"/>
  <c r="I56" i="12"/>
  <c r="W37" i="12" s="1"/>
  <c r="K56" i="12"/>
  <c r="L56" i="12"/>
  <c r="N56" i="12"/>
  <c r="O56" i="12"/>
  <c r="W62" i="12" s="1"/>
  <c r="Q56" i="12"/>
  <c r="R56" i="12"/>
  <c r="V56" i="12"/>
  <c r="W56" i="12"/>
  <c r="AA56" i="12" s="1"/>
  <c r="Y56" i="12"/>
  <c r="Z56" i="12"/>
  <c r="AU56" i="12"/>
  <c r="AX56" i="12" s="1"/>
  <c r="AV56" i="12"/>
  <c r="AY56" i="12"/>
  <c r="B57" i="12"/>
  <c r="V13" i="12" s="1"/>
  <c r="C57" i="12"/>
  <c r="W13" i="12" s="1"/>
  <c r="E57" i="12"/>
  <c r="F57" i="12"/>
  <c r="H57" i="12"/>
  <c r="V38" i="12" s="1"/>
  <c r="I57" i="12"/>
  <c r="W38" i="12" s="1"/>
  <c r="AA38" i="12" s="1"/>
  <c r="K57" i="12"/>
  <c r="L57" i="12"/>
  <c r="N57" i="12"/>
  <c r="O57" i="12"/>
  <c r="W63" i="12" s="1"/>
  <c r="Q57" i="12"/>
  <c r="R57" i="12"/>
  <c r="W57" i="12"/>
  <c r="AA57" i="12" s="1"/>
  <c r="B58" i="12"/>
  <c r="V14" i="12" s="1"/>
  <c r="C58" i="12"/>
  <c r="W14" i="12" s="1"/>
  <c r="E58" i="12"/>
  <c r="F58" i="12"/>
  <c r="H58" i="12"/>
  <c r="V39" i="12" s="1"/>
  <c r="AU39" i="12" s="1"/>
  <c r="AX39" i="12" s="1"/>
  <c r="I58" i="12"/>
  <c r="W39" i="12" s="1"/>
  <c r="K58" i="12"/>
  <c r="L58" i="12"/>
  <c r="N58" i="12"/>
  <c r="O58" i="12"/>
  <c r="W64" i="12" s="1"/>
  <c r="Q58" i="12"/>
  <c r="R58" i="12"/>
  <c r="V58" i="12"/>
  <c r="W58" i="12"/>
  <c r="AA58" i="12" s="1"/>
  <c r="Y58" i="12"/>
  <c r="Z58" i="12"/>
  <c r="AU58" i="12"/>
  <c r="AX58" i="12" s="1"/>
  <c r="AV58" i="12"/>
  <c r="AY58" i="12"/>
  <c r="B59" i="12"/>
  <c r="V15" i="12" s="1"/>
  <c r="C59" i="12"/>
  <c r="W15" i="12" s="1"/>
  <c r="E59" i="12"/>
  <c r="F59" i="12"/>
  <c r="H59" i="12"/>
  <c r="V40" i="12" s="1"/>
  <c r="I59" i="12"/>
  <c r="W40" i="12" s="1"/>
  <c r="K59" i="12"/>
  <c r="L59" i="12"/>
  <c r="N59" i="12"/>
  <c r="O59" i="12"/>
  <c r="W65" i="12" s="1"/>
  <c r="Q59" i="12"/>
  <c r="R59" i="12"/>
  <c r="V59" i="12"/>
  <c r="Y59" i="12"/>
  <c r="B60" i="12"/>
  <c r="V16" i="12" s="1"/>
  <c r="C60" i="12"/>
  <c r="W16" i="12" s="1"/>
  <c r="E60" i="12"/>
  <c r="F60" i="12"/>
  <c r="H60" i="12"/>
  <c r="V41" i="12" s="1"/>
  <c r="Y41" i="12" s="1"/>
  <c r="I60" i="12"/>
  <c r="W41" i="12" s="1"/>
  <c r="AA41" i="12" s="1"/>
  <c r="K60" i="12"/>
  <c r="L60" i="12"/>
  <c r="N60" i="12"/>
  <c r="O60" i="12"/>
  <c r="W66" i="12" s="1"/>
  <c r="Q60" i="12"/>
  <c r="R60" i="12"/>
  <c r="V60" i="12"/>
  <c r="Y60" i="12"/>
  <c r="B61" i="12"/>
  <c r="V17" i="12" s="1"/>
  <c r="C61" i="12"/>
  <c r="W17" i="12" s="1"/>
  <c r="E61" i="12"/>
  <c r="F61" i="12"/>
  <c r="H61" i="12"/>
  <c r="V42" i="12" s="1"/>
  <c r="AU42" i="12" s="1"/>
  <c r="AX42" i="12" s="1"/>
  <c r="I61" i="12"/>
  <c r="W42" i="12" s="1"/>
  <c r="AA42" i="12" s="1"/>
  <c r="K61" i="12"/>
  <c r="L61" i="12"/>
  <c r="N61" i="12"/>
  <c r="O61" i="12"/>
  <c r="W67" i="12" s="1"/>
  <c r="Q61" i="12"/>
  <c r="R61" i="12"/>
  <c r="V61" i="12"/>
  <c r="Y61" i="12"/>
  <c r="B62" i="12"/>
  <c r="V18" i="12" s="1"/>
  <c r="C62" i="12"/>
  <c r="W18" i="12" s="1"/>
  <c r="E62" i="12"/>
  <c r="F62" i="12"/>
  <c r="H62" i="12"/>
  <c r="V43" i="12" s="1"/>
  <c r="AU43" i="12" s="1"/>
  <c r="AX43" i="12" s="1"/>
  <c r="I62" i="12"/>
  <c r="W43" i="12" s="1"/>
  <c r="AA43" i="12" s="1"/>
  <c r="K62" i="12"/>
  <c r="L62" i="12"/>
  <c r="N62" i="12"/>
  <c r="O62" i="12"/>
  <c r="W68" i="12" s="1"/>
  <c r="Q62" i="12"/>
  <c r="R62" i="12"/>
  <c r="V62" i="12"/>
  <c r="Y62" i="12"/>
  <c r="B63" i="12"/>
  <c r="V19" i="12" s="1"/>
  <c r="C63" i="12"/>
  <c r="W19" i="12" s="1"/>
  <c r="E63" i="12"/>
  <c r="F63" i="12"/>
  <c r="H63" i="12"/>
  <c r="V44" i="12" s="1"/>
  <c r="I63" i="12"/>
  <c r="W44" i="12" s="1"/>
  <c r="AA44" i="12" s="1"/>
  <c r="K63" i="12"/>
  <c r="L63" i="12"/>
  <c r="N63" i="12"/>
  <c r="O63" i="12"/>
  <c r="W69" i="12" s="1"/>
  <c r="Q63" i="12"/>
  <c r="R63" i="12"/>
  <c r="V63" i="12"/>
  <c r="Y63" i="12"/>
  <c r="B64" i="12"/>
  <c r="V20" i="12" s="1"/>
  <c r="C64" i="12"/>
  <c r="W20" i="12" s="1"/>
  <c r="E64" i="12"/>
  <c r="F64" i="12"/>
  <c r="H64" i="12"/>
  <c r="V45" i="12" s="1"/>
  <c r="I64" i="12"/>
  <c r="W45" i="12" s="1"/>
  <c r="AA45" i="12" s="1"/>
  <c r="K64" i="12"/>
  <c r="L64" i="12"/>
  <c r="N64" i="12"/>
  <c r="O64" i="12"/>
  <c r="Q64" i="12"/>
  <c r="R64" i="12"/>
  <c r="V64" i="12"/>
  <c r="Y64" i="12"/>
  <c r="B65" i="12"/>
  <c r="V21" i="12" s="1"/>
  <c r="C65" i="12"/>
  <c r="W21" i="12" s="1"/>
  <c r="E65" i="12"/>
  <c r="F65" i="12"/>
  <c r="H65" i="12"/>
  <c r="V46" i="12" s="1"/>
  <c r="I65" i="12"/>
  <c r="W46" i="12" s="1"/>
  <c r="AA46" i="12" s="1"/>
  <c r="K65" i="12"/>
  <c r="L65" i="12"/>
  <c r="N65" i="12"/>
  <c r="O65" i="12"/>
  <c r="W71" i="12" s="1"/>
  <c r="Q65" i="12"/>
  <c r="R65" i="12"/>
  <c r="V65" i="12"/>
  <c r="Y65" i="12"/>
  <c r="B66" i="12"/>
  <c r="V22" i="12" s="1"/>
  <c r="C66" i="12"/>
  <c r="W22" i="12" s="1"/>
  <c r="E66" i="12"/>
  <c r="F66" i="12"/>
  <c r="H66" i="12"/>
  <c r="V47" i="12" s="1"/>
  <c r="AC47" i="12" s="1"/>
  <c r="I66" i="12"/>
  <c r="W47" i="12" s="1"/>
  <c r="K66" i="12"/>
  <c r="L66" i="12"/>
  <c r="N66" i="12"/>
  <c r="O66" i="12"/>
  <c r="W72" i="12" s="1"/>
  <c r="AA72" i="12" s="1"/>
  <c r="Q66" i="12"/>
  <c r="R66" i="12"/>
  <c r="V66" i="12"/>
  <c r="Y66" i="12"/>
  <c r="B67" i="12"/>
  <c r="V23" i="12" s="1"/>
  <c r="C67" i="12"/>
  <c r="W23" i="12" s="1"/>
  <c r="E67" i="12"/>
  <c r="F67" i="12"/>
  <c r="H67" i="12"/>
  <c r="V48" i="12" s="1"/>
  <c r="I67" i="12"/>
  <c r="K67" i="12"/>
  <c r="L67" i="12"/>
  <c r="N67" i="12"/>
  <c r="O67" i="12"/>
  <c r="W73" i="12" s="1"/>
  <c r="Q67" i="12"/>
  <c r="R67" i="12"/>
  <c r="V67" i="12"/>
  <c r="Y67" i="12"/>
  <c r="B68" i="12"/>
  <c r="V24" i="12" s="1"/>
  <c r="C68" i="12"/>
  <c r="W24" i="12" s="1"/>
  <c r="E68" i="12"/>
  <c r="F68" i="12"/>
  <c r="H68" i="12"/>
  <c r="V49" i="12" s="1"/>
  <c r="I68" i="12"/>
  <c r="W49" i="12" s="1"/>
  <c r="K68" i="12"/>
  <c r="L68" i="12"/>
  <c r="N68" i="12"/>
  <c r="O68" i="12"/>
  <c r="W74" i="12" s="1"/>
  <c r="Q68" i="12"/>
  <c r="R68" i="12"/>
  <c r="V68" i="12"/>
  <c r="Y68" i="12"/>
  <c r="B69" i="12"/>
  <c r="V25" i="12" s="1"/>
  <c r="C69" i="12"/>
  <c r="W25" i="12" s="1"/>
  <c r="E69" i="12"/>
  <c r="F69" i="12"/>
  <c r="H69" i="12"/>
  <c r="V50" i="12" s="1"/>
  <c r="I69" i="12"/>
  <c r="W50" i="12" s="1"/>
  <c r="K69" i="12"/>
  <c r="L69" i="12"/>
  <c r="N69" i="12"/>
  <c r="N79" i="12" s="1"/>
  <c r="O69" i="12"/>
  <c r="Q69" i="12"/>
  <c r="R69" i="12"/>
  <c r="V69" i="12"/>
  <c r="B70" i="12"/>
  <c r="V26" i="12" s="1"/>
  <c r="C70" i="12"/>
  <c r="W26" i="12" s="1"/>
  <c r="E70" i="12"/>
  <c r="E77" i="12" s="1"/>
  <c r="F70" i="12"/>
  <c r="H70" i="12"/>
  <c r="V51" i="12" s="1"/>
  <c r="I70" i="12"/>
  <c r="W51" i="12" s="1"/>
  <c r="K70" i="12"/>
  <c r="L70" i="12"/>
  <c r="N70" i="12"/>
  <c r="O70" i="12"/>
  <c r="Q70" i="12"/>
  <c r="Q78" i="12" s="1"/>
  <c r="R70" i="12"/>
  <c r="V70" i="12"/>
  <c r="W70" i="12"/>
  <c r="AA70" i="12" s="1"/>
  <c r="Y70" i="12"/>
  <c r="AU70" i="12"/>
  <c r="AX70" i="12" s="1"/>
  <c r="B71" i="12"/>
  <c r="V27" i="12" s="1"/>
  <c r="C71" i="12"/>
  <c r="W27" i="12" s="1"/>
  <c r="E71" i="12"/>
  <c r="F71" i="12"/>
  <c r="H71" i="12"/>
  <c r="V52" i="12" s="1"/>
  <c r="I71" i="12"/>
  <c r="W52" i="12" s="1"/>
  <c r="K71" i="12"/>
  <c r="L71" i="12"/>
  <c r="N71" i="12"/>
  <c r="O71" i="12"/>
  <c r="W77" i="12" s="1"/>
  <c r="Q71" i="12"/>
  <c r="R71" i="12"/>
  <c r="V71" i="12"/>
  <c r="AA71" i="12"/>
  <c r="B72" i="12"/>
  <c r="V28" i="12" s="1"/>
  <c r="C72" i="12"/>
  <c r="W28" i="12" s="1"/>
  <c r="E72" i="12"/>
  <c r="F72" i="12"/>
  <c r="H72" i="12"/>
  <c r="V53" i="12" s="1"/>
  <c r="I72" i="12"/>
  <c r="W53" i="12" s="1"/>
  <c r="K72" i="12"/>
  <c r="K80" i="12" s="1"/>
  <c r="L72" i="12"/>
  <c r="L78" i="12" s="1"/>
  <c r="N72" i="12"/>
  <c r="O72" i="12"/>
  <c r="Q72" i="12"/>
  <c r="R72" i="12"/>
  <c r="V72" i="12"/>
  <c r="Y72" i="12"/>
  <c r="Z72" i="12"/>
  <c r="AV72" i="12"/>
  <c r="AY72" i="12" s="1"/>
  <c r="B73" i="12"/>
  <c r="V29" i="12" s="1"/>
  <c r="C73" i="12"/>
  <c r="W29" i="12" s="1"/>
  <c r="E73" i="12"/>
  <c r="F73" i="12"/>
  <c r="H73" i="12"/>
  <c r="V54" i="12" s="1"/>
  <c r="I73" i="12"/>
  <c r="W54" i="12" s="1"/>
  <c r="K73" i="12"/>
  <c r="L73" i="12"/>
  <c r="N73" i="12"/>
  <c r="N80" i="12" s="1"/>
  <c r="O73" i="12"/>
  <c r="Q73" i="12"/>
  <c r="R73" i="12"/>
  <c r="V73" i="12"/>
  <c r="B74" i="12"/>
  <c r="V30" i="12" s="1"/>
  <c r="C74" i="12"/>
  <c r="W30" i="12" s="1"/>
  <c r="E74" i="12"/>
  <c r="F74" i="12"/>
  <c r="H74" i="12"/>
  <c r="V55" i="12" s="1"/>
  <c r="AC55" i="12" s="1"/>
  <c r="I74" i="12"/>
  <c r="W55" i="12" s="1"/>
  <c r="K74" i="12"/>
  <c r="L74" i="12"/>
  <c r="N74" i="12"/>
  <c r="O74" i="12"/>
  <c r="Q74" i="12"/>
  <c r="R74" i="12"/>
  <c r="V74" i="12"/>
  <c r="Y74" i="12"/>
  <c r="W75" i="12"/>
  <c r="AA75" i="12" s="1"/>
  <c r="V76" i="12"/>
  <c r="W76" i="12"/>
  <c r="AA76" i="12" s="1"/>
  <c r="Y76" i="12"/>
  <c r="Z76" i="12"/>
  <c r="AU76" i="12"/>
  <c r="AX76" i="12" s="1"/>
  <c r="AV76" i="12"/>
  <c r="AY76" i="12" s="1"/>
  <c r="F77" i="12"/>
  <c r="H77" i="12"/>
  <c r="I77" i="12"/>
  <c r="L77" i="12"/>
  <c r="R77" i="12"/>
  <c r="V77" i="12"/>
  <c r="Y77" i="12"/>
  <c r="F78" i="12"/>
  <c r="H78" i="12"/>
  <c r="K78" i="12"/>
  <c r="R78" i="12"/>
  <c r="V78" i="12"/>
  <c r="AC78" i="12" s="1"/>
  <c r="W78" i="12"/>
  <c r="Y78" i="12"/>
  <c r="AA78" i="12"/>
  <c r="AU78" i="12"/>
  <c r="AX78" i="12" s="1"/>
  <c r="F79" i="12"/>
  <c r="H79" i="12"/>
  <c r="I79" i="12"/>
  <c r="K79" i="12"/>
  <c r="L79" i="12"/>
  <c r="R79" i="12"/>
  <c r="V79" i="12"/>
  <c r="Z79" i="12" s="1"/>
  <c r="W79" i="12"/>
  <c r="AA79" i="12"/>
  <c r="E80" i="12"/>
  <c r="F80" i="12"/>
  <c r="H80" i="12"/>
  <c r="I80" i="12"/>
  <c r="L80" i="12"/>
  <c r="Q80" i="12"/>
  <c r="R80" i="12"/>
  <c r="V80" i="12"/>
  <c r="Y80" i="12" s="1"/>
  <c r="W80" i="12"/>
  <c r="AA80" i="12"/>
  <c r="B81" i="12"/>
  <c r="AC96" i="12" s="1"/>
  <c r="F81" i="12"/>
  <c r="H81" i="12"/>
  <c r="I81" i="12"/>
  <c r="AD46" i="12" s="1"/>
  <c r="AH46" i="12" s="1"/>
  <c r="K81" i="12"/>
  <c r="L81" i="12"/>
  <c r="N81" i="12"/>
  <c r="AC74" i="12" s="1"/>
  <c r="R81" i="12"/>
  <c r="F82" i="12"/>
  <c r="H82" i="12"/>
  <c r="I82" i="12"/>
  <c r="K82" i="12"/>
  <c r="L82" i="12"/>
  <c r="N82" i="12"/>
  <c r="R82" i="12"/>
  <c r="E83" i="12"/>
  <c r="F83" i="12"/>
  <c r="H83" i="12"/>
  <c r="I83" i="12"/>
  <c r="K83" i="12"/>
  <c r="L83" i="12"/>
  <c r="Q83" i="12"/>
  <c r="R83" i="12"/>
  <c r="B84" i="12"/>
  <c r="F84" i="12"/>
  <c r="H84" i="12"/>
  <c r="I84" i="12"/>
  <c r="K84" i="12"/>
  <c r="L84" i="12"/>
  <c r="N84" i="12"/>
  <c r="R84" i="12"/>
  <c r="AP95" i="12"/>
  <c r="AQ95" i="12"/>
  <c r="AG96" i="12"/>
  <c r="AP96" i="12"/>
  <c r="AQ96" i="12"/>
  <c r="AC97" i="12"/>
  <c r="AG97" i="12"/>
  <c r="AP97" i="12"/>
  <c r="AQ97" i="12"/>
  <c r="AC98" i="12"/>
  <c r="AG98" i="12"/>
  <c r="AP98" i="12"/>
  <c r="AQ98" i="12"/>
  <c r="AC99" i="12"/>
  <c r="AG99" i="12"/>
  <c r="AP99" i="12"/>
  <c r="AQ99" i="12"/>
  <c r="AC100" i="12"/>
  <c r="AG100" i="12"/>
  <c r="AP100" i="12"/>
  <c r="AQ100" i="12"/>
  <c r="AC101" i="12"/>
  <c r="AG101" i="12"/>
  <c r="AP101" i="12"/>
  <c r="AQ101" i="12"/>
  <c r="AC102" i="12"/>
  <c r="AG102" i="12"/>
  <c r="AP102" i="12"/>
  <c r="AQ102" i="12"/>
  <c r="AC103" i="12"/>
  <c r="AG103" i="12"/>
  <c r="AP103" i="12"/>
  <c r="AQ103" i="12"/>
  <c r="AC104" i="12"/>
  <c r="AG104" i="12"/>
  <c r="AP104" i="12"/>
  <c r="AQ104" i="12"/>
  <c r="AC105" i="12"/>
  <c r="AG105" i="12"/>
  <c r="AP105" i="12"/>
  <c r="AQ105" i="12"/>
  <c r="AC106" i="12"/>
  <c r="AG106" i="12"/>
  <c r="AP106" i="12"/>
  <c r="AQ106" i="12"/>
  <c r="AC107" i="12"/>
  <c r="AG107" i="12"/>
  <c r="AP107" i="12"/>
  <c r="AQ107" i="12"/>
  <c r="AC108" i="12"/>
  <c r="AG108" i="12"/>
  <c r="AP108" i="12"/>
  <c r="AQ108" i="12"/>
  <c r="AC109" i="12"/>
  <c r="AG109" i="12"/>
  <c r="AP109" i="12"/>
  <c r="AQ109" i="12"/>
  <c r="AC110" i="12"/>
  <c r="AG110" i="12"/>
  <c r="AP110" i="12"/>
  <c r="AQ110" i="12"/>
  <c r="AC111" i="12"/>
  <c r="AG111" i="12"/>
  <c r="AP111" i="12"/>
  <c r="AQ111" i="12"/>
  <c r="AC112" i="12"/>
  <c r="AG112" i="12"/>
  <c r="AP112" i="12"/>
  <c r="AQ112" i="12"/>
  <c r="AC113" i="12"/>
  <c r="AG113" i="12"/>
  <c r="AP113" i="12"/>
  <c r="AQ113" i="12"/>
  <c r="AC114" i="12"/>
  <c r="AG114" i="12"/>
  <c r="AP114" i="12"/>
  <c r="AQ114" i="12"/>
  <c r="AC115" i="12"/>
  <c r="AG115" i="12"/>
  <c r="AP115" i="12"/>
  <c r="AQ115" i="12"/>
  <c r="AC116" i="12"/>
  <c r="AG116" i="12"/>
  <c r="AP116" i="12"/>
  <c r="AQ116" i="12"/>
  <c r="AC117" i="12"/>
  <c r="AG117" i="12"/>
  <c r="AP117" i="12"/>
  <c r="AQ117" i="12"/>
  <c r="AC118" i="12"/>
  <c r="AG118" i="12"/>
  <c r="AP118" i="12"/>
  <c r="AQ118" i="12"/>
  <c r="AC119" i="12"/>
  <c r="AG119" i="12"/>
  <c r="AP119" i="12"/>
  <c r="AQ119" i="12"/>
  <c r="AC120" i="12"/>
  <c r="AG120" i="12"/>
  <c r="AP120" i="12"/>
  <c r="AQ120" i="12"/>
  <c r="AC121" i="12"/>
  <c r="AD121" i="12"/>
  <c r="AF121" i="12"/>
  <c r="AG121" i="12"/>
  <c r="AP121" i="12"/>
  <c r="AQ121" i="12"/>
  <c r="AC122" i="12"/>
  <c r="AD122" i="12"/>
  <c r="AF122" i="12"/>
  <c r="AG122" i="12"/>
  <c r="AP122" i="12"/>
  <c r="AQ122" i="12"/>
  <c r="AC123" i="12"/>
  <c r="AD123" i="12"/>
  <c r="AF123" i="12"/>
  <c r="AG123" i="12"/>
  <c r="AP123" i="12"/>
  <c r="AQ123" i="12"/>
  <c r="AC124" i="12"/>
  <c r="AD124" i="12"/>
  <c r="AF124" i="12"/>
  <c r="AG124" i="12"/>
  <c r="AP124" i="12"/>
  <c r="AQ124" i="12"/>
  <c r="AC125" i="12"/>
  <c r="AD125" i="12"/>
  <c r="AF125" i="12"/>
  <c r="AG125" i="12"/>
  <c r="AP125" i="12"/>
  <c r="AQ125" i="12"/>
  <c r="AC126" i="12"/>
  <c r="AD126" i="12"/>
  <c r="AF126" i="12"/>
  <c r="AG126" i="12"/>
  <c r="AP126" i="12"/>
  <c r="AQ126" i="12"/>
  <c r="AC127" i="12"/>
  <c r="AD127" i="12"/>
  <c r="AF127" i="12"/>
  <c r="AG127" i="12"/>
  <c r="AP127" i="12"/>
  <c r="AQ127" i="12"/>
  <c r="AC128" i="12"/>
  <c r="AD128" i="12"/>
  <c r="AF128" i="12"/>
  <c r="AG128" i="12"/>
  <c r="AP128" i="12"/>
  <c r="AQ128" i="12"/>
  <c r="AC129" i="12"/>
  <c r="AD129" i="12"/>
  <c r="AF129" i="12"/>
  <c r="AG129" i="12"/>
  <c r="AP129" i="12"/>
  <c r="AQ129" i="12"/>
  <c r="AC130" i="12"/>
  <c r="AD130" i="12"/>
  <c r="AF130" i="12"/>
  <c r="AG130" i="12"/>
  <c r="AP130" i="12"/>
  <c r="AQ130" i="12"/>
  <c r="AC131" i="12"/>
  <c r="AD131" i="12"/>
  <c r="AF131" i="12"/>
  <c r="AG131" i="12"/>
  <c r="AP131" i="12"/>
  <c r="AQ131" i="12"/>
  <c r="AC132" i="12"/>
  <c r="AD132" i="12"/>
  <c r="AF132" i="12"/>
  <c r="AG132" i="12"/>
  <c r="AP132" i="12"/>
  <c r="AQ132" i="12"/>
  <c r="AC133" i="12"/>
  <c r="AD133" i="12"/>
  <c r="AF133" i="12"/>
  <c r="AG133" i="12"/>
  <c r="AP133" i="12"/>
  <c r="AQ133" i="12"/>
  <c r="AC134" i="12"/>
  <c r="AD134" i="12"/>
  <c r="AF134" i="12"/>
  <c r="AG134" i="12"/>
  <c r="AP134" i="12"/>
  <c r="AQ134" i="12"/>
  <c r="AC135" i="12"/>
  <c r="AD135" i="12"/>
  <c r="AF135" i="12"/>
  <c r="AG135" i="12"/>
  <c r="AP135" i="12"/>
  <c r="AQ135" i="12"/>
  <c r="AC136" i="12"/>
  <c r="AD136" i="12"/>
  <c r="AF136" i="12"/>
  <c r="AG136" i="12"/>
  <c r="AP136" i="12"/>
  <c r="AQ136" i="12"/>
  <c r="AC137" i="12"/>
  <c r="AD137" i="12"/>
  <c r="AF137" i="12"/>
  <c r="AG137" i="12"/>
  <c r="AP137" i="12"/>
  <c r="AQ137" i="12"/>
  <c r="AC138" i="12"/>
  <c r="AD138" i="12"/>
  <c r="AF138" i="12"/>
  <c r="AG138" i="12"/>
  <c r="AP138" i="12"/>
  <c r="AQ138" i="12"/>
  <c r="AC139" i="12"/>
  <c r="AD139" i="12"/>
  <c r="AF139" i="12"/>
  <c r="AG139" i="12"/>
  <c r="AP139" i="12"/>
  <c r="AQ139" i="12"/>
  <c r="AC140" i="12"/>
  <c r="AD140" i="12"/>
  <c r="AF140" i="12"/>
  <c r="AG140" i="12"/>
  <c r="AP140" i="12"/>
  <c r="AQ140" i="12"/>
  <c r="AC141" i="12"/>
  <c r="AD141" i="12"/>
  <c r="AF141" i="12"/>
  <c r="AG141" i="12"/>
  <c r="AP141" i="12"/>
  <c r="AQ141" i="12"/>
  <c r="AC142" i="12"/>
  <c r="AD142" i="12"/>
  <c r="AF142" i="12"/>
  <c r="AG142" i="12"/>
  <c r="AP142" i="12"/>
  <c r="AQ142" i="12"/>
  <c r="AC143" i="12"/>
  <c r="AD143" i="12"/>
  <c r="AF143" i="12"/>
  <c r="AG143" i="12"/>
  <c r="AP143" i="12"/>
  <c r="AQ143" i="12"/>
  <c r="AC144" i="12"/>
  <c r="AD144" i="12"/>
  <c r="AF144" i="12"/>
  <c r="AG144" i="12"/>
  <c r="AP144" i="12"/>
  <c r="AQ144" i="12"/>
  <c r="AC145" i="12"/>
  <c r="AD145" i="12"/>
  <c r="AF145" i="12"/>
  <c r="AG145" i="12"/>
  <c r="AJ145" i="12"/>
  <c r="AK145" i="12"/>
  <c r="AL145" i="12"/>
  <c r="AM145" i="12"/>
  <c r="AP145" i="12"/>
  <c r="AQ145" i="12"/>
  <c r="AC146" i="12"/>
  <c r="AG146" i="12"/>
  <c r="AJ146" i="12"/>
  <c r="AP146" i="12"/>
  <c r="AQ146" i="12"/>
  <c r="AC147" i="12"/>
  <c r="AG147" i="12"/>
  <c r="AP147" i="12"/>
  <c r="AQ147" i="12"/>
  <c r="AC148" i="12"/>
  <c r="AG148" i="12"/>
  <c r="AP148" i="12"/>
  <c r="AQ148" i="12"/>
  <c r="AC149" i="12"/>
  <c r="AG149" i="12"/>
  <c r="AP149" i="12"/>
  <c r="AQ149" i="12"/>
  <c r="AC150" i="12"/>
  <c r="AG150" i="12"/>
  <c r="AP150" i="12"/>
  <c r="AQ150" i="12"/>
  <c r="AC151" i="12"/>
  <c r="AG151" i="12"/>
  <c r="AP151" i="12"/>
  <c r="AQ151" i="12"/>
  <c r="AC152" i="12"/>
  <c r="AG152" i="12"/>
  <c r="AP152" i="12"/>
  <c r="AQ152" i="12"/>
  <c r="AC153" i="12"/>
  <c r="AG153" i="12"/>
  <c r="AP153" i="12"/>
  <c r="AQ153" i="12"/>
  <c r="AC154" i="12"/>
  <c r="AG154" i="12"/>
  <c r="AP154" i="12"/>
  <c r="AQ154" i="12"/>
  <c r="AC155" i="12"/>
  <c r="AG155" i="12"/>
  <c r="AP155" i="12"/>
  <c r="AQ155" i="12"/>
  <c r="AC156" i="12"/>
  <c r="AG156" i="12"/>
  <c r="AP156" i="12"/>
  <c r="AQ156" i="12"/>
  <c r="AC157" i="12"/>
  <c r="AG157" i="12"/>
  <c r="AP157" i="12"/>
  <c r="AQ157" i="12"/>
  <c r="AC158" i="12"/>
  <c r="AG158" i="12"/>
  <c r="AP158" i="12"/>
  <c r="AQ158" i="12"/>
  <c r="AC159" i="12"/>
  <c r="AG159" i="12"/>
  <c r="AP159" i="12"/>
  <c r="AQ159" i="12"/>
  <c r="AC160" i="12"/>
  <c r="AG160" i="12"/>
  <c r="AP160" i="12"/>
  <c r="AQ160" i="12"/>
  <c r="AC161" i="12"/>
  <c r="AG161" i="12"/>
  <c r="AP161" i="12"/>
  <c r="AQ161" i="12"/>
  <c r="AC162" i="12"/>
  <c r="AG162" i="12"/>
  <c r="AP162" i="12"/>
  <c r="AQ162" i="12"/>
  <c r="AC163" i="12"/>
  <c r="AG163" i="12"/>
  <c r="AP163" i="12"/>
  <c r="AQ163" i="12"/>
  <c r="AC164" i="12"/>
  <c r="AG164" i="12"/>
  <c r="AP164" i="12"/>
  <c r="AQ164" i="12"/>
  <c r="AC165" i="12"/>
  <c r="AG165" i="12"/>
  <c r="AP165" i="12"/>
  <c r="AQ165" i="12"/>
  <c r="AC166" i="12"/>
  <c r="AG166" i="12"/>
  <c r="AP166" i="12"/>
  <c r="AQ166" i="12"/>
  <c r="AC167" i="12"/>
  <c r="AG167" i="12"/>
  <c r="AP167" i="12"/>
  <c r="AQ167" i="12"/>
  <c r="AC168" i="12"/>
  <c r="AG168" i="12"/>
  <c r="AP168" i="12"/>
  <c r="AQ168" i="12"/>
  <c r="AC169" i="12"/>
  <c r="AG169" i="12"/>
  <c r="AP169" i="12"/>
  <c r="AQ169" i="12"/>
  <c r="AC170" i="12"/>
  <c r="AG170" i="12"/>
  <c r="AP8" i="11"/>
  <c r="AS10" i="11"/>
  <c r="AY10" i="11"/>
  <c r="Y11" i="11"/>
  <c r="AK11" i="11"/>
  <c r="AS11" i="11"/>
  <c r="AZ11" i="11"/>
  <c r="BZ10" i="11" s="1"/>
  <c r="BW11" i="11"/>
  <c r="V12" i="11"/>
  <c r="AH12" i="11"/>
  <c r="AK12" i="11"/>
  <c r="AY12" i="11"/>
  <c r="BY11" i="11" s="1"/>
  <c r="BL12" i="11"/>
  <c r="BW12" i="11"/>
  <c r="Z13" i="11"/>
  <c r="AF13" i="11"/>
  <c r="AZ13" i="11"/>
  <c r="BZ12" i="11" s="1"/>
  <c r="Y14" i="11"/>
  <c r="Z14" i="11"/>
  <c r="AE14" i="11"/>
  <c r="AH14" i="11"/>
  <c r="AW14" i="11"/>
  <c r="AY14" i="11"/>
  <c r="BY13" i="11" s="1"/>
  <c r="Y15" i="11"/>
  <c r="AL15" i="11"/>
  <c r="BL15" i="11"/>
  <c r="BZ15" i="11"/>
  <c r="W16" i="11"/>
  <c r="AF16" i="11"/>
  <c r="AW16" i="11"/>
  <c r="AZ16" i="11"/>
  <c r="BL16" i="11"/>
  <c r="BZ16" i="11"/>
  <c r="V17" i="11"/>
  <c r="Z17" i="11"/>
  <c r="AE17" i="11"/>
  <c r="AH17" i="11"/>
  <c r="AL17" i="11"/>
  <c r="AW17" i="11"/>
  <c r="AZ17" i="11"/>
  <c r="BW17" i="11"/>
  <c r="Z18" i="11"/>
  <c r="AE18" i="11"/>
  <c r="AF18" i="11"/>
  <c r="AI18" i="11"/>
  <c r="AL18" i="11"/>
  <c r="AZ18" i="11"/>
  <c r="BZ17" i="11" s="1"/>
  <c r="BL18" i="11"/>
  <c r="BW18" i="11"/>
  <c r="B19" i="11"/>
  <c r="C19" i="11"/>
  <c r="E19" i="11"/>
  <c r="F19" i="11"/>
  <c r="H19" i="11"/>
  <c r="I19" i="11"/>
  <c r="K19" i="11"/>
  <c r="L19" i="11"/>
  <c r="N19" i="11"/>
  <c r="O19" i="11"/>
  <c r="Q19" i="11"/>
  <c r="R19" i="11"/>
  <c r="V19" i="11"/>
  <c r="Y19" i="11"/>
  <c r="AC19" i="11"/>
  <c r="AE19" i="11"/>
  <c r="AH19" i="11"/>
  <c r="AK19" i="11"/>
  <c r="AY19" i="11"/>
  <c r="BY18" i="11" s="1"/>
  <c r="BL19" i="11"/>
  <c r="BM19" i="11"/>
  <c r="BW19" i="11"/>
  <c r="BZ19" i="11"/>
  <c r="AB20" i="11"/>
  <c r="B21" i="11"/>
  <c r="C21" i="11"/>
  <c r="E21" i="11"/>
  <c r="F21" i="11"/>
  <c r="H21" i="11"/>
  <c r="I21" i="11"/>
  <c r="K21" i="11"/>
  <c r="L21" i="11"/>
  <c r="N21" i="11"/>
  <c r="O21" i="11"/>
  <c r="Q21" i="11"/>
  <c r="R21" i="11"/>
  <c r="B22" i="11"/>
  <c r="C22" i="11"/>
  <c r="E22" i="11"/>
  <c r="F22" i="11"/>
  <c r="H22" i="11"/>
  <c r="I22" i="11"/>
  <c r="K22" i="11"/>
  <c r="L22" i="11"/>
  <c r="N22" i="11"/>
  <c r="O22" i="11"/>
  <c r="Q22" i="11"/>
  <c r="R22" i="11"/>
  <c r="B23" i="11"/>
  <c r="AW11" i="11" s="1"/>
  <c r="C23" i="11"/>
  <c r="AX15" i="11" s="1"/>
  <c r="E23" i="11"/>
  <c r="AY11" i="11" s="1"/>
  <c r="BY10" i="11" s="1"/>
  <c r="F23" i="11"/>
  <c r="H23" i="11"/>
  <c r="I23" i="11"/>
  <c r="K23" i="11"/>
  <c r="BL11" i="11" s="1"/>
  <c r="L23" i="11"/>
  <c r="BM10" i="11" s="1"/>
  <c r="N23" i="11"/>
  <c r="BW13" i="11" s="1"/>
  <c r="O23" i="11"/>
  <c r="Q23" i="11"/>
  <c r="BY19" i="11" s="1"/>
  <c r="R23" i="11"/>
  <c r="B24" i="11"/>
  <c r="V13" i="11" s="1"/>
  <c r="C24" i="11"/>
  <c r="W20" i="11" s="1"/>
  <c r="E24" i="11"/>
  <c r="Y12" i="11" s="1"/>
  <c r="F24" i="11"/>
  <c r="Z12" i="11" s="1"/>
  <c r="H24" i="11"/>
  <c r="I24" i="11"/>
  <c r="K24" i="11"/>
  <c r="AE15" i="11" s="1"/>
  <c r="L24" i="11"/>
  <c r="AF20" i="11" s="1"/>
  <c r="N24" i="11"/>
  <c r="O24" i="11"/>
  <c r="AI13" i="11" s="1"/>
  <c r="Q24" i="11"/>
  <c r="AK15" i="11" s="1"/>
  <c r="R24" i="11"/>
  <c r="AL12" i="11" s="1"/>
  <c r="B25" i="11"/>
  <c r="C25" i="11"/>
  <c r="E25" i="11"/>
  <c r="F25" i="11"/>
  <c r="H25" i="11"/>
  <c r="I25" i="11"/>
  <c r="K25" i="11"/>
  <c r="L25" i="11"/>
  <c r="N25" i="11"/>
  <c r="O25" i="11"/>
  <c r="Q25" i="11"/>
  <c r="R25" i="11"/>
  <c r="B26" i="11"/>
  <c r="C26" i="11"/>
  <c r="E26" i="11"/>
  <c r="F26" i="11"/>
  <c r="H26" i="11"/>
  <c r="I26" i="11"/>
  <c r="K26" i="11"/>
  <c r="L26" i="11"/>
  <c r="N26" i="11"/>
  <c r="O26" i="11"/>
  <c r="Q26" i="11"/>
  <c r="R26" i="11"/>
  <c r="B28" i="11"/>
  <c r="C28" i="11"/>
  <c r="E28" i="11"/>
  <c r="F28" i="11"/>
  <c r="AD32" i="11"/>
  <c r="AW32" i="11"/>
  <c r="AX32" i="11"/>
  <c r="AY32" i="11"/>
  <c r="AZ32" i="11"/>
  <c r="BL32" i="11"/>
  <c r="BW32" i="11"/>
  <c r="BX32" i="11"/>
  <c r="BY32" i="11"/>
  <c r="BZ32" i="11"/>
  <c r="AW33" i="11"/>
  <c r="AY33" i="11"/>
  <c r="AZ33" i="11"/>
  <c r="BL33" i="11"/>
  <c r="BM33" i="11"/>
  <c r="BW33" i="11"/>
  <c r="BY33" i="11"/>
  <c r="BZ33" i="11"/>
  <c r="AW34" i="11"/>
  <c r="AY34" i="11"/>
  <c r="AZ34" i="11"/>
  <c r="BL34" i="11"/>
  <c r="BW34" i="11"/>
  <c r="BY34" i="11"/>
  <c r="BZ34" i="11"/>
  <c r="E35" i="11"/>
  <c r="F35" i="11"/>
  <c r="AW35" i="11"/>
  <c r="AX35" i="11"/>
  <c r="BC35" i="11" s="1"/>
  <c r="AY35" i="11"/>
  <c r="AZ35" i="11"/>
  <c r="BJ35" i="11"/>
  <c r="BL35" i="11"/>
  <c r="BW35" i="11"/>
  <c r="BX35" i="11"/>
  <c r="BY35" i="11"/>
  <c r="BZ35" i="11"/>
  <c r="C36" i="11"/>
  <c r="D36" i="11"/>
  <c r="E36" i="11"/>
  <c r="F36" i="11"/>
  <c r="AW36" i="11"/>
  <c r="AY36" i="11"/>
  <c r="AZ36" i="11"/>
  <c r="BL36" i="11"/>
  <c r="BM36" i="11"/>
  <c r="BW36" i="11"/>
  <c r="BY36" i="11"/>
  <c r="BZ36" i="11"/>
  <c r="C37" i="11"/>
  <c r="E37" i="11"/>
  <c r="F37" i="11"/>
  <c r="AW37" i="11"/>
  <c r="AY37" i="11"/>
  <c r="AZ37" i="11"/>
  <c r="BL37" i="11"/>
  <c r="BW37" i="11"/>
  <c r="BY37" i="11"/>
  <c r="BZ37" i="11"/>
  <c r="AW38" i="11"/>
  <c r="AX38" i="11"/>
  <c r="BC38" i="11" s="1"/>
  <c r="AY38" i="11"/>
  <c r="AZ38" i="11"/>
  <c r="BJ38" i="11"/>
  <c r="BL38" i="11"/>
  <c r="BW38" i="11"/>
  <c r="BX38" i="11"/>
  <c r="BY38" i="11"/>
  <c r="BZ38" i="11"/>
  <c r="AW39" i="11"/>
  <c r="AX39" i="11"/>
  <c r="AY39" i="11"/>
  <c r="AZ39" i="11"/>
  <c r="BC39" i="11"/>
  <c r="BL39" i="11"/>
  <c r="BM39" i="11"/>
  <c r="BW39" i="11"/>
  <c r="BY39" i="11"/>
  <c r="BZ39" i="11"/>
  <c r="AW40" i="11"/>
  <c r="AX40" i="11"/>
  <c r="AY40" i="11"/>
  <c r="AZ40" i="11"/>
  <c r="BC40" i="11"/>
  <c r="BJ40" i="11"/>
  <c r="BL40" i="11"/>
  <c r="BW40" i="11"/>
  <c r="BX40" i="11"/>
  <c r="CC40" i="11" s="1"/>
  <c r="BY40" i="11"/>
  <c r="BZ40" i="11"/>
  <c r="AW41" i="11"/>
  <c r="AY41" i="11"/>
  <c r="AZ41" i="11"/>
  <c r="BJ41" i="11"/>
  <c r="BL41" i="11"/>
  <c r="BM41" i="11"/>
  <c r="BW41" i="11"/>
  <c r="BX41" i="11"/>
  <c r="CC41" i="11" s="1"/>
  <c r="BY41" i="11"/>
  <c r="BZ41" i="11"/>
  <c r="C44" i="11"/>
  <c r="D44" i="11"/>
  <c r="E44" i="11"/>
  <c r="F44" i="11"/>
  <c r="I44" i="11"/>
  <c r="J44" i="11"/>
  <c r="I45" i="11" s="1"/>
  <c r="K44" i="11"/>
  <c r="I46" i="11" s="1"/>
  <c r="L44" i="11"/>
  <c r="O44" i="11"/>
  <c r="P44" i="11"/>
  <c r="O45" i="11" s="1"/>
  <c r="O55" i="11" s="1"/>
  <c r="Q44" i="11"/>
  <c r="O46" i="11" s="1"/>
  <c r="R44" i="11"/>
  <c r="D45" i="11"/>
  <c r="AQ9" i="11" s="1"/>
  <c r="E45" i="11"/>
  <c r="F45" i="11"/>
  <c r="F55" i="11" s="1"/>
  <c r="D57" i="11" s="1"/>
  <c r="J45" i="11"/>
  <c r="K45" i="11"/>
  <c r="L45" i="11"/>
  <c r="P45" i="11"/>
  <c r="Q45" i="11"/>
  <c r="K55" i="11" s="1"/>
  <c r="R45" i="11"/>
  <c r="P47" i="11" s="1"/>
  <c r="D46" i="11"/>
  <c r="E46" i="11"/>
  <c r="AR10" i="11" s="1"/>
  <c r="F46" i="11"/>
  <c r="J46" i="11"/>
  <c r="P56" i="11" s="1"/>
  <c r="K46" i="11"/>
  <c r="L46" i="11"/>
  <c r="P46" i="11"/>
  <c r="Q46" i="11"/>
  <c r="R46" i="11"/>
  <c r="R56" i="11" s="1"/>
  <c r="C47" i="11"/>
  <c r="E47" i="11"/>
  <c r="F47" i="11"/>
  <c r="J47" i="11"/>
  <c r="K47" i="11"/>
  <c r="L47" i="11"/>
  <c r="O47" i="11"/>
  <c r="Q47" i="11"/>
  <c r="R47" i="11"/>
  <c r="C54" i="11"/>
  <c r="D54" i="11"/>
  <c r="I54" i="11"/>
  <c r="J54" i="11"/>
  <c r="O54" i="11"/>
  <c r="P54" i="11"/>
  <c r="AW54" i="11"/>
  <c r="AX54" i="11"/>
  <c r="AY54" i="11"/>
  <c r="AZ54" i="11"/>
  <c r="BL54" i="11"/>
  <c r="BM54" i="11"/>
  <c r="BW54" i="11"/>
  <c r="BY54" i="11"/>
  <c r="BZ54" i="11"/>
  <c r="D55" i="11"/>
  <c r="J55" i="11"/>
  <c r="P55" i="11"/>
  <c r="R55" i="11"/>
  <c r="AW55" i="11"/>
  <c r="AX55" i="11"/>
  <c r="AY55" i="11"/>
  <c r="AZ55" i="11"/>
  <c r="BJ55" i="11"/>
  <c r="BK55" i="11"/>
  <c r="BL55" i="11"/>
  <c r="BW55" i="11"/>
  <c r="BX55" i="11"/>
  <c r="BY55" i="11"/>
  <c r="BZ55" i="11"/>
  <c r="F56" i="11"/>
  <c r="J56" i="11"/>
  <c r="K56" i="11"/>
  <c r="O56" i="11"/>
  <c r="Q56" i="11"/>
  <c r="AW56" i="11"/>
  <c r="AY56" i="11"/>
  <c r="AZ56" i="11"/>
  <c r="BJ56" i="11"/>
  <c r="BL56" i="11"/>
  <c r="BM56" i="11"/>
  <c r="BW56" i="11"/>
  <c r="BX56" i="11"/>
  <c r="BY56" i="11"/>
  <c r="BZ56" i="11"/>
  <c r="E57" i="11"/>
  <c r="F57" i="11"/>
  <c r="L57" i="11"/>
  <c r="P57" i="11"/>
  <c r="Q57" i="11"/>
  <c r="R57" i="11"/>
  <c r="AW57" i="11"/>
  <c r="BC57" i="11" s="1"/>
  <c r="AX57" i="11"/>
  <c r="AY57" i="11"/>
  <c r="AZ57" i="11"/>
  <c r="BJ57" i="11"/>
  <c r="BL57" i="11"/>
  <c r="BM57" i="11"/>
  <c r="BW57" i="11"/>
  <c r="BX57" i="11"/>
  <c r="BY57" i="11"/>
  <c r="BZ57" i="11"/>
  <c r="AW58" i="11"/>
  <c r="AX58" i="11"/>
  <c r="BC58" i="11" s="1"/>
  <c r="AY58" i="11"/>
  <c r="AZ58" i="11"/>
  <c r="BJ58" i="11"/>
  <c r="BL58" i="11"/>
  <c r="BM58" i="11"/>
  <c r="BW58" i="11"/>
  <c r="BX58" i="11"/>
  <c r="BY58" i="11"/>
  <c r="BZ58" i="11"/>
  <c r="AW59" i="11"/>
  <c r="AX59" i="11"/>
  <c r="AY59" i="11"/>
  <c r="AZ59" i="11"/>
  <c r="BC59" i="11"/>
  <c r="BJ59" i="11"/>
  <c r="BL59" i="11"/>
  <c r="BW59" i="11"/>
  <c r="BX59" i="11"/>
  <c r="BY59" i="11"/>
  <c r="BZ59" i="11"/>
  <c r="AW60" i="11"/>
  <c r="AX60" i="11"/>
  <c r="AY60" i="11"/>
  <c r="AZ60" i="11"/>
  <c r="BC60" i="11"/>
  <c r="BJ60" i="11"/>
  <c r="BL60" i="11"/>
  <c r="BM60" i="11"/>
  <c r="BW60" i="11"/>
  <c r="CC60" i="11" s="1"/>
  <c r="BX60" i="11"/>
  <c r="BY60" i="11"/>
  <c r="BZ60" i="11"/>
  <c r="AW61" i="11"/>
  <c r="AX61" i="11"/>
  <c r="AY61" i="11"/>
  <c r="AZ61" i="11"/>
  <c r="BJ61" i="11"/>
  <c r="BL61" i="11"/>
  <c r="BM61" i="11"/>
  <c r="BW61" i="11"/>
  <c r="BX61" i="11"/>
  <c r="BY61" i="11"/>
  <c r="BZ61" i="11"/>
  <c r="AW62" i="11"/>
  <c r="AX62" i="11"/>
  <c r="AY62" i="11"/>
  <c r="AZ62" i="11"/>
  <c r="BJ62" i="11"/>
  <c r="BK62" i="11"/>
  <c r="BL62" i="11"/>
  <c r="BM62" i="11"/>
  <c r="BW62" i="11"/>
  <c r="BX62" i="11"/>
  <c r="BY62" i="11"/>
  <c r="CC62" i="11" s="1"/>
  <c r="BZ62" i="11"/>
  <c r="AW63" i="11"/>
  <c r="AX63" i="11"/>
  <c r="AY63" i="11"/>
  <c r="AZ63" i="11"/>
  <c r="BJ63" i="11"/>
  <c r="BL63" i="11"/>
  <c r="BM63" i="11"/>
  <c r="BW63" i="11"/>
  <c r="BX63" i="11"/>
  <c r="BY63" i="11"/>
  <c r="BZ63" i="11"/>
  <c r="CC63" i="11"/>
  <c r="C74" i="11"/>
  <c r="I74" i="11"/>
  <c r="O74" i="11"/>
  <c r="C82" i="11"/>
  <c r="I82" i="11"/>
  <c r="O82" i="11"/>
  <c r="C83" i="11"/>
  <c r="I83" i="11"/>
  <c r="O83" i="11"/>
  <c r="C11" i="10"/>
  <c r="C13" i="10"/>
  <c r="C18" i="10"/>
  <c r="U23" i="10"/>
  <c r="U24" i="10"/>
  <c r="U25" i="10"/>
  <c r="U26" i="10" s="1"/>
  <c r="V23" i="10" s="1"/>
  <c r="V25" i="10"/>
  <c r="D28" i="10"/>
  <c r="E28" i="10"/>
  <c r="C29" i="10"/>
  <c r="D29" i="10"/>
  <c r="E29" i="10"/>
  <c r="C30" i="10"/>
  <c r="D30" i="10"/>
  <c r="E30" i="10"/>
  <c r="D31" i="10"/>
  <c r="E31" i="10"/>
  <c r="X31" i="10"/>
  <c r="Y31" i="10"/>
  <c r="Z31" i="10"/>
  <c r="D32" i="10"/>
  <c r="E32" i="10"/>
  <c r="X32" i="10"/>
  <c r="Y32" i="10"/>
  <c r="Z32" i="10"/>
  <c r="D33" i="10"/>
  <c r="E33" i="10"/>
  <c r="X33" i="10"/>
  <c r="Y33" i="10"/>
  <c r="Z33" i="10"/>
  <c r="H34" i="10"/>
  <c r="I34" i="10"/>
  <c r="J34" i="10"/>
  <c r="K34" i="10"/>
  <c r="AC17" i="10" s="1"/>
  <c r="AE15" i="10" s="1"/>
  <c r="L34" i="10"/>
  <c r="M34" i="10"/>
  <c r="N34" i="10"/>
  <c r="H35" i="10"/>
  <c r="I35" i="10"/>
  <c r="J35" i="10"/>
  <c r="K35" i="10"/>
  <c r="L35" i="10"/>
  <c r="M35" i="10"/>
  <c r="N35" i="10"/>
  <c r="H36" i="10"/>
  <c r="I36" i="10"/>
  <c r="J36" i="10"/>
  <c r="K36" i="10"/>
  <c r="L36" i="10"/>
  <c r="M36" i="10"/>
  <c r="N36" i="10"/>
  <c r="H37" i="10"/>
  <c r="I37" i="10"/>
  <c r="J37" i="10"/>
  <c r="K37" i="10"/>
  <c r="L37" i="10"/>
  <c r="M37" i="10"/>
  <c r="N37" i="10"/>
  <c r="H38" i="10"/>
  <c r="I38" i="10"/>
  <c r="J38" i="10"/>
  <c r="K38" i="10"/>
  <c r="L38" i="10"/>
  <c r="M38" i="10"/>
  <c r="N38" i="10"/>
  <c r="H39" i="10"/>
  <c r="I39" i="10"/>
  <c r="J39" i="10"/>
  <c r="K39" i="10"/>
  <c r="L39" i="10"/>
  <c r="M39" i="10"/>
  <c r="N39" i="10"/>
  <c r="C40" i="10"/>
  <c r="D40" i="10"/>
  <c r="E40" i="10"/>
  <c r="H40" i="10"/>
  <c r="P40" i="10" s="1"/>
  <c r="I40" i="10"/>
  <c r="J40" i="10"/>
  <c r="K40" i="10"/>
  <c r="L40" i="10"/>
  <c r="M40" i="10"/>
  <c r="N40" i="10"/>
  <c r="C41" i="10"/>
  <c r="D41" i="10"/>
  <c r="E41" i="10"/>
  <c r="H41" i="10"/>
  <c r="I41" i="10"/>
  <c r="J41" i="10"/>
  <c r="K41" i="10"/>
  <c r="L41" i="10"/>
  <c r="M41" i="10"/>
  <c r="N41" i="10"/>
  <c r="X41" i="10"/>
  <c r="Y41" i="10"/>
  <c r="Z41" i="10"/>
  <c r="C42" i="10"/>
  <c r="D42" i="10"/>
  <c r="E42" i="10"/>
  <c r="H42" i="10"/>
  <c r="I42" i="10"/>
  <c r="J42" i="10"/>
  <c r="K42" i="10"/>
  <c r="L42" i="10"/>
  <c r="M42" i="10"/>
  <c r="P42" i="10" s="1"/>
  <c r="N42" i="10"/>
  <c r="X42" i="10"/>
  <c r="Y42" i="10"/>
  <c r="Z42" i="10"/>
  <c r="C43" i="10"/>
  <c r="D43" i="10"/>
  <c r="E43" i="10"/>
  <c r="H43" i="10"/>
  <c r="I43" i="10"/>
  <c r="J43" i="10"/>
  <c r="K43" i="10"/>
  <c r="L43" i="10"/>
  <c r="M43" i="10"/>
  <c r="N43" i="10"/>
  <c r="P43" i="10"/>
  <c r="X43" i="10"/>
  <c r="Y43" i="10"/>
  <c r="Z43" i="10"/>
  <c r="D44" i="10"/>
  <c r="E44" i="10"/>
  <c r="H44" i="10"/>
  <c r="I44" i="10"/>
  <c r="J44" i="10"/>
  <c r="K44" i="10"/>
  <c r="L44" i="10"/>
  <c r="M44" i="10"/>
  <c r="N44" i="10"/>
  <c r="X44" i="10"/>
  <c r="Y44" i="10"/>
  <c r="Z44" i="10"/>
  <c r="C45" i="10"/>
  <c r="D45" i="10"/>
  <c r="E45" i="10"/>
  <c r="H45" i="10"/>
  <c r="I45" i="10"/>
  <c r="J45" i="10"/>
  <c r="K45" i="10"/>
  <c r="K112" i="10" s="1"/>
  <c r="L45" i="10"/>
  <c r="M45" i="10"/>
  <c r="N45" i="10"/>
  <c r="X45" i="10"/>
  <c r="Y45" i="10"/>
  <c r="Z45" i="10"/>
  <c r="C46" i="10"/>
  <c r="D46" i="10"/>
  <c r="E46" i="10"/>
  <c r="E78" i="10" s="1"/>
  <c r="H46" i="10"/>
  <c r="I46" i="10"/>
  <c r="J46" i="10"/>
  <c r="K46" i="10"/>
  <c r="L46" i="10"/>
  <c r="P46" i="10" s="1"/>
  <c r="M46" i="10"/>
  <c r="N46" i="10"/>
  <c r="X46" i="10"/>
  <c r="Y46" i="10"/>
  <c r="Z46" i="10"/>
  <c r="C47" i="10"/>
  <c r="D47" i="10"/>
  <c r="E47" i="10"/>
  <c r="H47" i="10"/>
  <c r="I47" i="10"/>
  <c r="J47" i="10"/>
  <c r="K47" i="10"/>
  <c r="L47" i="10"/>
  <c r="M47" i="10"/>
  <c r="N47" i="10"/>
  <c r="N114" i="10" s="1"/>
  <c r="X47" i="10"/>
  <c r="Y47" i="10"/>
  <c r="Z47" i="10"/>
  <c r="C48" i="10"/>
  <c r="D48" i="10"/>
  <c r="E48" i="10"/>
  <c r="H48" i="10"/>
  <c r="P48" i="10" s="1"/>
  <c r="I48" i="10"/>
  <c r="J48" i="10"/>
  <c r="K48" i="10"/>
  <c r="L48" i="10"/>
  <c r="M48" i="10"/>
  <c r="N48" i="10"/>
  <c r="C49" i="10"/>
  <c r="C81" i="10" s="1"/>
  <c r="D49" i="10"/>
  <c r="D81" i="10" s="1"/>
  <c r="E49" i="10"/>
  <c r="H49" i="10"/>
  <c r="I49" i="10"/>
  <c r="J49" i="10"/>
  <c r="K49" i="10"/>
  <c r="L49" i="10"/>
  <c r="M49" i="10"/>
  <c r="M60" i="10" s="1"/>
  <c r="N49" i="10"/>
  <c r="N116" i="10" s="1"/>
  <c r="C50" i="10"/>
  <c r="D50" i="10"/>
  <c r="E50" i="10"/>
  <c r="H50" i="10"/>
  <c r="I50" i="10"/>
  <c r="J50" i="10"/>
  <c r="K50" i="10"/>
  <c r="L50" i="10"/>
  <c r="M50" i="10"/>
  <c r="N50" i="10"/>
  <c r="C51" i="10"/>
  <c r="D51" i="10"/>
  <c r="E51" i="10"/>
  <c r="H51" i="10"/>
  <c r="P51" i="10" s="1"/>
  <c r="I51" i="10"/>
  <c r="J51" i="10"/>
  <c r="J55" i="10" s="1"/>
  <c r="K51" i="10"/>
  <c r="L51" i="10"/>
  <c r="M51" i="10"/>
  <c r="N51" i="10"/>
  <c r="C52" i="10"/>
  <c r="C84" i="10" s="1"/>
  <c r="D52" i="10"/>
  <c r="E52" i="10"/>
  <c r="E84" i="10" s="1"/>
  <c r="H52" i="10"/>
  <c r="I52" i="10"/>
  <c r="J52" i="10"/>
  <c r="K52" i="10"/>
  <c r="L52" i="10"/>
  <c r="M52" i="10"/>
  <c r="N52" i="10"/>
  <c r="P52" i="10"/>
  <c r="C53" i="10"/>
  <c r="C85" i="10" s="1"/>
  <c r="D53" i="10"/>
  <c r="D85" i="10" s="1"/>
  <c r="E53" i="10"/>
  <c r="H53" i="10"/>
  <c r="I53" i="10"/>
  <c r="J53" i="10"/>
  <c r="K53" i="10"/>
  <c r="L53" i="10"/>
  <c r="L120" i="10" s="1"/>
  <c r="M53" i="10"/>
  <c r="N53" i="10"/>
  <c r="N120" i="10" s="1"/>
  <c r="C54" i="10"/>
  <c r="D54" i="10"/>
  <c r="E54" i="10"/>
  <c r="E86" i="10" s="1"/>
  <c r="C55" i="10"/>
  <c r="D55" i="10"/>
  <c r="D87" i="10" s="1"/>
  <c r="F87" i="10" s="1"/>
  <c r="E55" i="10"/>
  <c r="C56" i="10"/>
  <c r="D56" i="10"/>
  <c r="E56" i="10"/>
  <c r="E63" i="10" s="1"/>
  <c r="C57" i="10"/>
  <c r="D57" i="10"/>
  <c r="E57" i="10"/>
  <c r="C58" i="10"/>
  <c r="D58" i="10"/>
  <c r="D90" i="10" s="1"/>
  <c r="E58" i="10"/>
  <c r="E90" i="10" s="1"/>
  <c r="C59" i="10"/>
  <c r="D59" i="10"/>
  <c r="E59" i="10"/>
  <c r="L59" i="10"/>
  <c r="I66" i="10"/>
  <c r="I66" i="10" a="1"/>
  <c r="I67" i="10"/>
  <c r="I68" i="10"/>
  <c r="I69" i="10"/>
  <c r="I70" i="10"/>
  <c r="I71" i="10"/>
  <c r="D72" i="10"/>
  <c r="E72" i="10"/>
  <c r="I72" i="10"/>
  <c r="D73" i="10"/>
  <c r="E73" i="10"/>
  <c r="I73" i="10"/>
  <c r="C74" i="10"/>
  <c r="F74" i="10" s="1"/>
  <c r="D74" i="10"/>
  <c r="E74" i="10"/>
  <c r="I74" i="10"/>
  <c r="C75" i="10"/>
  <c r="D75" i="10"/>
  <c r="F75" i="10" s="1"/>
  <c r="E75" i="10"/>
  <c r="I75" i="10"/>
  <c r="D76" i="10"/>
  <c r="E76" i="10"/>
  <c r="I76" i="10"/>
  <c r="C77" i="10"/>
  <c r="D77" i="10"/>
  <c r="E77" i="10"/>
  <c r="F77" i="10"/>
  <c r="C78" i="10"/>
  <c r="D78" i="10"/>
  <c r="F78" i="10"/>
  <c r="C79" i="10"/>
  <c r="E79" i="10"/>
  <c r="C80" i="10"/>
  <c r="D80" i="10"/>
  <c r="E80" i="10"/>
  <c r="F80" i="10"/>
  <c r="E81" i="10"/>
  <c r="C82" i="10"/>
  <c r="D82" i="10"/>
  <c r="E82" i="10"/>
  <c r="F82" i="10"/>
  <c r="C83" i="10"/>
  <c r="D83" i="10"/>
  <c r="E83" i="10"/>
  <c r="F83" i="10"/>
  <c r="H83" i="10"/>
  <c r="D84" i="10"/>
  <c r="H84" i="10"/>
  <c r="E85" i="10"/>
  <c r="C86" i="10"/>
  <c r="D86" i="10"/>
  <c r="F86" i="10"/>
  <c r="C87" i="10"/>
  <c r="E87" i="10"/>
  <c r="C88" i="10"/>
  <c r="D88" i="10"/>
  <c r="C89" i="10"/>
  <c r="D89" i="10"/>
  <c r="F89" i="10" s="1"/>
  <c r="E89" i="10"/>
  <c r="C90" i="10"/>
  <c r="F90" i="10" s="1"/>
  <c r="C91" i="10"/>
  <c r="D91" i="10"/>
  <c r="F91" i="10" s="1"/>
  <c r="E91" i="10"/>
  <c r="I101" i="10"/>
  <c r="J101" i="10"/>
  <c r="K101" i="10"/>
  <c r="L101" i="10"/>
  <c r="M101" i="10"/>
  <c r="N101" i="10"/>
  <c r="I102" i="10"/>
  <c r="J102" i="10"/>
  <c r="K102" i="10"/>
  <c r="L102" i="10"/>
  <c r="M102" i="10"/>
  <c r="N102" i="10"/>
  <c r="J103" i="10"/>
  <c r="K103" i="10"/>
  <c r="L103" i="10"/>
  <c r="M103" i="10"/>
  <c r="N103" i="10"/>
  <c r="I104" i="10"/>
  <c r="J104" i="10"/>
  <c r="K104" i="10"/>
  <c r="L104" i="10"/>
  <c r="M104" i="10"/>
  <c r="N104" i="10"/>
  <c r="I105" i="10"/>
  <c r="J105" i="10"/>
  <c r="L105" i="10"/>
  <c r="M105" i="10"/>
  <c r="N105" i="10"/>
  <c r="H106" i="10"/>
  <c r="I106" i="10"/>
  <c r="J106" i="10"/>
  <c r="K106" i="10"/>
  <c r="L106" i="10"/>
  <c r="M106" i="10"/>
  <c r="N106" i="10"/>
  <c r="H107" i="10"/>
  <c r="I107" i="10"/>
  <c r="J107" i="10"/>
  <c r="K107" i="10"/>
  <c r="L107" i="10"/>
  <c r="M107" i="10"/>
  <c r="N107" i="10"/>
  <c r="H108" i="10"/>
  <c r="I108" i="10"/>
  <c r="J108" i="10"/>
  <c r="P108" i="10" s="1"/>
  <c r="K108" i="10"/>
  <c r="L108" i="10"/>
  <c r="M108" i="10"/>
  <c r="N108" i="10"/>
  <c r="H109" i="10"/>
  <c r="I109" i="10"/>
  <c r="J109" i="10"/>
  <c r="P109" i="10" s="1"/>
  <c r="K109" i="10"/>
  <c r="L109" i="10"/>
  <c r="M109" i="10"/>
  <c r="N109" i="10"/>
  <c r="H110" i="10"/>
  <c r="I110" i="10"/>
  <c r="J110" i="10"/>
  <c r="P110" i="10" s="1"/>
  <c r="K110" i="10"/>
  <c r="L110" i="10"/>
  <c r="M110" i="10"/>
  <c r="N110" i="10"/>
  <c r="I111" i="10"/>
  <c r="J111" i="10"/>
  <c r="K111" i="10"/>
  <c r="L111" i="10"/>
  <c r="M111" i="10"/>
  <c r="N111" i="10"/>
  <c r="H112" i="10"/>
  <c r="I112" i="10"/>
  <c r="J112" i="10"/>
  <c r="L112" i="10"/>
  <c r="M112" i="10"/>
  <c r="N112" i="10"/>
  <c r="H113" i="10"/>
  <c r="I113" i="10"/>
  <c r="J113" i="10"/>
  <c r="K113" i="10"/>
  <c r="M113" i="10"/>
  <c r="N113" i="10"/>
  <c r="H114" i="10"/>
  <c r="I114" i="10"/>
  <c r="J114" i="10"/>
  <c r="K114" i="10"/>
  <c r="L114" i="10"/>
  <c r="M114" i="10"/>
  <c r="H115" i="10"/>
  <c r="I115" i="10"/>
  <c r="J115" i="10"/>
  <c r="K115" i="10"/>
  <c r="L115" i="10"/>
  <c r="M115" i="10"/>
  <c r="N115" i="10"/>
  <c r="I116" i="10"/>
  <c r="J116" i="10"/>
  <c r="K116" i="10"/>
  <c r="L116" i="10"/>
  <c r="M116" i="10"/>
  <c r="H117" i="10"/>
  <c r="I117" i="10"/>
  <c r="J117" i="10"/>
  <c r="K117" i="10"/>
  <c r="L117" i="10"/>
  <c r="M117" i="10"/>
  <c r="N117" i="10"/>
  <c r="H118" i="10"/>
  <c r="I118" i="10"/>
  <c r="J118" i="10"/>
  <c r="P118" i="10" s="1"/>
  <c r="K118" i="10"/>
  <c r="L118" i="10"/>
  <c r="M118" i="10"/>
  <c r="N118" i="10"/>
  <c r="H119" i="10"/>
  <c r="I119" i="10"/>
  <c r="J119" i="10"/>
  <c r="P119" i="10" s="1"/>
  <c r="K119" i="10"/>
  <c r="L119" i="10"/>
  <c r="M119" i="10"/>
  <c r="N119" i="10"/>
  <c r="H120" i="10"/>
  <c r="I120" i="10"/>
  <c r="J120" i="10"/>
  <c r="K120" i="10"/>
  <c r="M120" i="10"/>
  <c r="J127" i="10"/>
  <c r="AS6" i="8" a="1"/>
  <c r="AU6" i="8" s="1"/>
  <c r="AT6" i="8"/>
  <c r="AT7" i="8"/>
  <c r="AU7" i="8"/>
  <c r="AV8" i="8"/>
  <c r="AW8" i="8"/>
  <c r="AX9" i="8"/>
  <c r="AS10" i="8"/>
  <c r="AT11" i="8"/>
  <c r="AU11" i="8"/>
  <c r="AJ20" i="8"/>
  <c r="AJ21" i="8"/>
  <c r="AJ22" i="8"/>
  <c r="AJ23" i="8"/>
  <c r="AJ24" i="8"/>
  <c r="AJ25" i="8"/>
  <c r="AJ26" i="8"/>
  <c r="C33" i="8"/>
  <c r="D33" i="8"/>
  <c r="E33" i="8"/>
  <c r="F33" i="8"/>
  <c r="G33" i="8"/>
  <c r="H33" i="8"/>
  <c r="I33" i="8"/>
  <c r="C34" i="8"/>
  <c r="D34" i="8"/>
  <c r="D54" i="8" s="1"/>
  <c r="E34" i="8"/>
  <c r="F34" i="8"/>
  <c r="G34" i="8"/>
  <c r="H34" i="8"/>
  <c r="I34" i="8"/>
  <c r="C35" i="8"/>
  <c r="K35" i="8" s="1"/>
  <c r="D35" i="8"/>
  <c r="E35" i="8"/>
  <c r="F35" i="8"/>
  <c r="G35" i="8"/>
  <c r="H35" i="8"/>
  <c r="I35" i="8"/>
  <c r="C36" i="8"/>
  <c r="D36" i="8"/>
  <c r="E36" i="8"/>
  <c r="F36" i="8"/>
  <c r="G36" i="8"/>
  <c r="H36" i="8"/>
  <c r="I36" i="8"/>
  <c r="C37" i="8"/>
  <c r="D37" i="8"/>
  <c r="E37" i="8"/>
  <c r="F37" i="8"/>
  <c r="G37" i="8"/>
  <c r="H37" i="8"/>
  <c r="I37" i="8"/>
  <c r="C38" i="8"/>
  <c r="D38" i="8"/>
  <c r="E38" i="8"/>
  <c r="F38" i="8"/>
  <c r="G38" i="8"/>
  <c r="H38" i="8"/>
  <c r="H54" i="8" s="1"/>
  <c r="I38" i="8"/>
  <c r="C39" i="8"/>
  <c r="K39" i="8" s="1"/>
  <c r="D39" i="8"/>
  <c r="E39" i="8"/>
  <c r="F39" i="8"/>
  <c r="G39" i="8"/>
  <c r="H39" i="8"/>
  <c r="I39" i="8"/>
  <c r="C40" i="8"/>
  <c r="D40" i="8"/>
  <c r="E40" i="8"/>
  <c r="F40" i="8"/>
  <c r="G40" i="8"/>
  <c r="H40" i="8"/>
  <c r="I40" i="8"/>
  <c r="C41" i="8"/>
  <c r="D41" i="8"/>
  <c r="E41" i="8"/>
  <c r="F41" i="8"/>
  <c r="G41" i="8"/>
  <c r="H41" i="8"/>
  <c r="I41" i="8"/>
  <c r="C42" i="8"/>
  <c r="K42" i="8" s="1"/>
  <c r="D42" i="8"/>
  <c r="E42" i="8"/>
  <c r="F42" i="8"/>
  <c r="G42" i="8"/>
  <c r="H42" i="8"/>
  <c r="I42" i="8"/>
  <c r="C43" i="8"/>
  <c r="K43" i="8" s="1"/>
  <c r="D43" i="8"/>
  <c r="E43" i="8"/>
  <c r="F43" i="8"/>
  <c r="G43" i="8"/>
  <c r="H43" i="8"/>
  <c r="I43" i="8"/>
  <c r="C44" i="8"/>
  <c r="D44" i="8"/>
  <c r="E44" i="8"/>
  <c r="F44" i="8"/>
  <c r="G44" i="8"/>
  <c r="H44" i="8"/>
  <c r="I44" i="8"/>
  <c r="C45" i="8"/>
  <c r="D45" i="8"/>
  <c r="E45" i="8"/>
  <c r="F45" i="8"/>
  <c r="G45" i="8"/>
  <c r="H45" i="8"/>
  <c r="I45" i="8"/>
  <c r="C46" i="8"/>
  <c r="D46" i="8"/>
  <c r="E46" i="8"/>
  <c r="F46" i="8"/>
  <c r="G46" i="8"/>
  <c r="H46" i="8"/>
  <c r="I46" i="8"/>
  <c r="C47" i="8"/>
  <c r="D47" i="8"/>
  <c r="E47" i="8"/>
  <c r="F47" i="8"/>
  <c r="G47" i="8"/>
  <c r="H47" i="8"/>
  <c r="I47" i="8"/>
  <c r="C48" i="8"/>
  <c r="K48" i="8" s="1"/>
  <c r="D48" i="8"/>
  <c r="E48" i="8"/>
  <c r="F48" i="8"/>
  <c r="G48" i="8"/>
  <c r="H48" i="8"/>
  <c r="I48" i="8"/>
  <c r="C49" i="8"/>
  <c r="K49" i="8" s="1"/>
  <c r="BI65" i="8" s="1"/>
  <c r="D49" i="8"/>
  <c r="E49" i="8"/>
  <c r="F49" i="8"/>
  <c r="G49" i="8"/>
  <c r="H49" i="8"/>
  <c r="I49" i="8"/>
  <c r="C50" i="8"/>
  <c r="D50" i="8"/>
  <c r="E50" i="8"/>
  <c r="F50" i="8"/>
  <c r="G50" i="8"/>
  <c r="H50" i="8"/>
  <c r="I50" i="8"/>
  <c r="C51" i="8"/>
  <c r="K51" i="8" s="1"/>
  <c r="D51" i="8"/>
  <c r="E51" i="8"/>
  <c r="F51" i="8"/>
  <c r="G51" i="8"/>
  <c r="H51" i="8"/>
  <c r="I51" i="8"/>
  <c r="I54" i="8" s="1"/>
  <c r="C52" i="8"/>
  <c r="D52" i="8"/>
  <c r="E52" i="8"/>
  <c r="F52" i="8"/>
  <c r="G52" i="8"/>
  <c r="H52" i="8"/>
  <c r="I52" i="8"/>
  <c r="AJ58" i="8" a="1"/>
  <c r="AJ58" i="8" s="1"/>
  <c r="AK58" i="8"/>
  <c r="AK59" i="8"/>
  <c r="AL59" i="8"/>
  <c r="AJ60" i="8"/>
  <c r="AL60" i="8"/>
  <c r="AJ61" i="8"/>
  <c r="AJ62" i="8"/>
  <c r="AK62" i="8"/>
  <c r="AJ63" i="8"/>
  <c r="AJ64" i="8"/>
  <c r="AK64" i="8"/>
  <c r="H5" i="7"/>
  <c r="I5" i="7"/>
  <c r="J5" i="7"/>
  <c r="G6" i="7"/>
  <c r="H6" i="7"/>
  <c r="G7" i="7"/>
  <c r="H7" i="7"/>
  <c r="I6" i="7" s="1"/>
  <c r="I7" i="7"/>
  <c r="G8" i="7"/>
  <c r="H8" i="7"/>
  <c r="J6" i="7" s="1"/>
  <c r="I8" i="7"/>
  <c r="J7" i="7" s="1"/>
  <c r="J8" i="7"/>
  <c r="AK10" i="7"/>
  <c r="AL8" i="7" s="1"/>
  <c r="C11" i="7"/>
  <c r="H12" i="7"/>
  <c r="I12" i="7"/>
  <c r="J12" i="7"/>
  <c r="C13" i="7"/>
  <c r="C34" i="7" s="1"/>
  <c r="G13" i="7"/>
  <c r="G14" i="7"/>
  <c r="G15" i="7"/>
  <c r="C18" i="7"/>
  <c r="H19" i="7"/>
  <c r="I19" i="7"/>
  <c r="J19" i="7"/>
  <c r="G20" i="7"/>
  <c r="H20" i="7"/>
  <c r="G21" i="7"/>
  <c r="H21" i="7"/>
  <c r="I20" i="7" s="1"/>
  <c r="I21" i="7"/>
  <c r="J21" i="7"/>
  <c r="G22" i="7"/>
  <c r="H22" i="7"/>
  <c r="J20" i="7" s="1"/>
  <c r="I22" i="7"/>
  <c r="J22" i="7"/>
  <c r="D28" i="7"/>
  <c r="E28" i="7"/>
  <c r="D29" i="7"/>
  <c r="E29" i="7"/>
  <c r="D30" i="7"/>
  <c r="E30" i="7"/>
  <c r="D31" i="7"/>
  <c r="E31" i="7"/>
  <c r="D32" i="7"/>
  <c r="D41" i="7" s="1"/>
  <c r="E32" i="7"/>
  <c r="E43" i="7" s="1"/>
  <c r="D33" i="7"/>
  <c r="E33" i="7"/>
  <c r="D34" i="7"/>
  <c r="E34" i="7"/>
  <c r="AK39" i="7"/>
  <c r="AL39" i="7"/>
  <c r="AM39" i="7"/>
  <c r="D40" i="7"/>
  <c r="E40" i="7"/>
  <c r="AK40" i="7"/>
  <c r="AL40" i="7"/>
  <c r="AM40" i="7"/>
  <c r="AK41" i="7"/>
  <c r="AL41" i="7"/>
  <c r="AM41" i="7"/>
  <c r="D42" i="7"/>
  <c r="E42" i="7"/>
  <c r="AK42" i="7"/>
  <c r="AL42" i="7"/>
  <c r="AM42" i="7"/>
  <c r="D43" i="7"/>
  <c r="AK43" i="7"/>
  <c r="AL43" i="7"/>
  <c r="AM43" i="7"/>
  <c r="D44" i="7"/>
  <c r="E44" i="7"/>
  <c r="AK44" i="7"/>
  <c r="AL44" i="7"/>
  <c r="AM44" i="7"/>
  <c r="AK45" i="7"/>
  <c r="AL45" i="7"/>
  <c r="AM45" i="7"/>
  <c r="D46" i="7"/>
  <c r="E46" i="7"/>
  <c r="AK46" i="7"/>
  <c r="AL46" i="7"/>
  <c r="AM46" i="7"/>
  <c r="D47" i="7"/>
  <c r="AK47" i="7"/>
  <c r="AL47" i="7"/>
  <c r="AM47" i="7"/>
  <c r="D48" i="7"/>
  <c r="E48" i="7"/>
  <c r="AK48" i="7"/>
  <c r="AL48" i="7"/>
  <c r="AM48" i="7"/>
  <c r="AK49" i="7"/>
  <c r="AL49" i="7"/>
  <c r="AM49" i="7"/>
  <c r="D50" i="7"/>
  <c r="E50" i="7"/>
  <c r="AK50" i="7"/>
  <c r="AL50" i="7"/>
  <c r="AM50" i="7"/>
  <c r="D51" i="7"/>
  <c r="AK51" i="7"/>
  <c r="AL51" i="7"/>
  <c r="AM51" i="7"/>
  <c r="D52" i="7"/>
  <c r="E52" i="7"/>
  <c r="AK52" i="7"/>
  <c r="AL52" i="7"/>
  <c r="AM52" i="7"/>
  <c r="AK53" i="7"/>
  <c r="AL53" i="7"/>
  <c r="AM53" i="7"/>
  <c r="D54" i="7"/>
  <c r="E54" i="7"/>
  <c r="AK54" i="7"/>
  <c r="AL54" i="7"/>
  <c r="AM54" i="7"/>
  <c r="D55" i="7"/>
  <c r="AK55" i="7"/>
  <c r="AL55" i="7"/>
  <c r="AM55" i="7"/>
  <c r="D56" i="7"/>
  <c r="E56" i="7"/>
  <c r="AK56" i="7"/>
  <c r="AL56" i="7"/>
  <c r="AM56" i="7"/>
  <c r="AK57" i="7"/>
  <c r="AL57" i="7"/>
  <c r="AM57" i="7"/>
  <c r="D58" i="7"/>
  <c r="E58" i="7"/>
  <c r="AK58" i="7"/>
  <c r="AL58" i="7"/>
  <c r="AM58" i="7"/>
  <c r="D59" i="7"/>
  <c r="H6" i="6"/>
  <c r="H7" i="6"/>
  <c r="I6" i="6" s="1"/>
  <c r="I7" i="6"/>
  <c r="I8" i="6"/>
  <c r="J7" i="6" s="1"/>
  <c r="J8" i="6"/>
  <c r="C11" i="6"/>
  <c r="C13" i="6"/>
  <c r="H13" i="6"/>
  <c r="I13" i="6" s="1"/>
  <c r="I14" i="6" s="1"/>
  <c r="H14" i="6"/>
  <c r="H15" i="6"/>
  <c r="I15" i="6" s="1"/>
  <c r="C18" i="6"/>
  <c r="H27" i="6"/>
  <c r="I27" i="6"/>
  <c r="J27" i="6"/>
  <c r="O27" i="6"/>
  <c r="D28" i="6"/>
  <c r="E28" i="6"/>
  <c r="H28" i="6"/>
  <c r="I28" i="6"/>
  <c r="J28" i="6"/>
  <c r="O28" i="6"/>
  <c r="D29" i="6"/>
  <c r="E29" i="6"/>
  <c r="H29" i="6"/>
  <c r="J29" i="6" s="1"/>
  <c r="I29" i="6"/>
  <c r="O29" i="6"/>
  <c r="D30" i="6"/>
  <c r="E30" i="6"/>
  <c r="C31" i="6"/>
  <c r="D31" i="6"/>
  <c r="E31" i="6"/>
  <c r="C60" i="6"/>
  <c r="D60" i="6"/>
  <c r="E60" i="6"/>
  <c r="C61" i="6"/>
  <c r="D61" i="6"/>
  <c r="E61" i="6"/>
  <c r="C62" i="6"/>
  <c r="D62" i="6"/>
  <c r="E62" i="6"/>
  <c r="C63" i="6"/>
  <c r="D63" i="6"/>
  <c r="E63" i="6"/>
  <c r="H63" i="6" a="1"/>
  <c r="H66" i="6" s="1"/>
  <c r="M63" i="6"/>
  <c r="M63" i="6" a="1"/>
  <c r="N63" i="6"/>
  <c r="M64" i="6"/>
  <c r="N64" i="6"/>
  <c r="M65" i="6"/>
  <c r="N65" i="6"/>
  <c r="M66" i="6"/>
  <c r="N66" i="6"/>
  <c r="M67" i="6"/>
  <c r="N67" i="6"/>
  <c r="M68" i="6"/>
  <c r="N68" i="6"/>
  <c r="M69" i="6"/>
  <c r="N69" i="6"/>
  <c r="M70" i="6"/>
  <c r="N70" i="6"/>
  <c r="M71" i="6"/>
  <c r="N71" i="6"/>
  <c r="M72" i="6"/>
  <c r="N72" i="6"/>
  <c r="M73" i="6"/>
  <c r="N73" i="6"/>
  <c r="M74" i="6"/>
  <c r="N74" i="6"/>
  <c r="M75" i="6"/>
  <c r="N75" i="6"/>
  <c r="M76" i="6"/>
  <c r="N76" i="6"/>
  <c r="M77" i="6"/>
  <c r="N77" i="6"/>
  <c r="M78" i="6"/>
  <c r="N78" i="6"/>
  <c r="M79" i="6"/>
  <c r="N79" i="6"/>
  <c r="M80" i="6"/>
  <c r="N80" i="6"/>
  <c r="M81" i="6"/>
  <c r="N81" i="6"/>
  <c r="M82" i="6"/>
  <c r="N82" i="6"/>
  <c r="G7" i="5"/>
  <c r="H7" i="5"/>
  <c r="H30" i="5" s="1"/>
  <c r="I7" i="5"/>
  <c r="N7" i="5"/>
  <c r="O7" i="5"/>
  <c r="G8" i="5"/>
  <c r="H8" i="5"/>
  <c r="I8" i="5"/>
  <c r="I29" i="5" s="1"/>
  <c r="G9" i="5"/>
  <c r="H9" i="5"/>
  <c r="I9" i="5"/>
  <c r="I28" i="5" s="1"/>
  <c r="G10" i="5"/>
  <c r="H10" i="5"/>
  <c r="I10" i="5"/>
  <c r="C11" i="5"/>
  <c r="C28" i="5" s="1"/>
  <c r="G11" i="5"/>
  <c r="H11" i="5"/>
  <c r="I11" i="5"/>
  <c r="G12" i="5"/>
  <c r="H12" i="5"/>
  <c r="I12" i="5"/>
  <c r="C13" i="5"/>
  <c r="C31" i="5" s="1"/>
  <c r="H13" i="5"/>
  <c r="I13" i="5"/>
  <c r="N13" i="5"/>
  <c r="O13" i="5" s="1"/>
  <c r="G14" i="5"/>
  <c r="H14" i="5"/>
  <c r="I14" i="5"/>
  <c r="G15" i="5"/>
  <c r="H15" i="5"/>
  <c r="I15" i="5"/>
  <c r="G16" i="5"/>
  <c r="H16" i="5"/>
  <c r="I16" i="5"/>
  <c r="I30" i="5" s="1"/>
  <c r="G17" i="5"/>
  <c r="H17" i="5"/>
  <c r="I17" i="5"/>
  <c r="M17" i="5"/>
  <c r="N15" i="5" s="1"/>
  <c r="C18" i="5"/>
  <c r="G18" i="5"/>
  <c r="H18" i="5"/>
  <c r="I18" i="5"/>
  <c r="G19" i="5"/>
  <c r="H19" i="5"/>
  <c r="I19" i="5"/>
  <c r="G20" i="5"/>
  <c r="H20" i="5"/>
  <c r="I20" i="5"/>
  <c r="G21" i="5"/>
  <c r="H21" i="5"/>
  <c r="I21" i="5"/>
  <c r="G22" i="5"/>
  <c r="H22" i="5"/>
  <c r="I22" i="5"/>
  <c r="G23" i="5"/>
  <c r="H23" i="5"/>
  <c r="I23" i="5"/>
  <c r="G24" i="5"/>
  <c r="H24" i="5"/>
  <c r="I24" i="5"/>
  <c r="G25" i="5"/>
  <c r="H25" i="5"/>
  <c r="I25" i="5"/>
  <c r="G26" i="5"/>
  <c r="H26" i="5"/>
  <c r="I26" i="5"/>
  <c r="D28" i="5"/>
  <c r="E28" i="5"/>
  <c r="D29" i="5"/>
  <c r="E29" i="5"/>
  <c r="C30" i="5"/>
  <c r="D30" i="5"/>
  <c r="N8" i="5" s="1"/>
  <c r="E30" i="5"/>
  <c r="O9" i="5" s="1"/>
  <c r="D31" i="5"/>
  <c r="E31" i="5"/>
  <c r="I31" i="5"/>
  <c r="I44" i="5"/>
  <c r="J44" i="5"/>
  <c r="I45" i="5"/>
  <c r="J45" i="5"/>
  <c r="H47" i="5"/>
  <c r="M49" i="5"/>
  <c r="N49" i="5"/>
  <c r="O49" i="5"/>
  <c r="M56" i="5"/>
  <c r="N57" i="5"/>
  <c r="O57" i="5"/>
  <c r="M58" i="5"/>
  <c r="O56" i="5" s="1"/>
  <c r="N58" i="5"/>
  <c r="O58" i="5"/>
  <c r="N62" i="5"/>
  <c r="O62" i="5"/>
  <c r="N64" i="5"/>
  <c r="M66" i="5"/>
  <c r="N63" i="5" s="1"/>
  <c r="O63" i="5" s="1"/>
  <c r="O64" i="5" s="1"/>
  <c r="M97" i="5"/>
  <c r="N97" i="5"/>
  <c r="O97" i="5"/>
  <c r="C15" i="4" a="1"/>
  <c r="D15" i="4" s="1"/>
  <c r="C19" i="4" a="1"/>
  <c r="C19" i="4" s="1"/>
  <c r="J29" i="4"/>
  <c r="R29" i="4" a="1"/>
  <c r="S30" i="4" s="1"/>
  <c r="S29" i="4"/>
  <c r="I30" i="4"/>
  <c r="R30" i="4"/>
  <c r="C32" i="4"/>
  <c r="H29" i="4" s="1"/>
  <c r="C34" i="4"/>
  <c r="S35" i="4"/>
  <c r="S36" i="4"/>
  <c r="H38" i="4"/>
  <c r="I37" i="4" s="1"/>
  <c r="H45" i="4" s="1" a="1"/>
  <c r="C39" i="4"/>
  <c r="D49" i="4"/>
  <c r="E49" i="4"/>
  <c r="C50" i="4"/>
  <c r="D50" i="4"/>
  <c r="E50" i="4"/>
  <c r="D51" i="4"/>
  <c r="E51" i="4"/>
  <c r="D58" i="4"/>
  <c r="E58" i="4"/>
  <c r="D59" i="4"/>
  <c r="E59" i="4"/>
  <c r="D60" i="4"/>
  <c r="E60" i="4"/>
  <c r="D61" i="4"/>
  <c r="E61" i="4"/>
  <c r="C62" i="4"/>
  <c r="D62" i="4"/>
  <c r="E62" i="4"/>
  <c r="D63" i="4"/>
  <c r="E63" i="4"/>
  <c r="C64" i="4"/>
  <c r="E64" i="4" s="1"/>
  <c r="D64" i="4"/>
  <c r="D65" i="4"/>
  <c r="E65" i="4" s="1"/>
  <c r="D66" i="4"/>
  <c r="E66" i="4"/>
  <c r="D67" i="4"/>
  <c r="E67" i="4"/>
  <c r="D68" i="4"/>
  <c r="E68" i="4" s="1"/>
  <c r="C69" i="4"/>
  <c r="E69" i="4" s="1"/>
  <c r="D69" i="4"/>
  <c r="D70" i="4"/>
  <c r="E70" i="4"/>
  <c r="D71" i="4"/>
  <c r="E71" i="4"/>
  <c r="D72" i="4"/>
  <c r="E72" i="4"/>
  <c r="D73" i="4"/>
  <c r="E73" i="4"/>
  <c r="D74" i="4"/>
  <c r="E74" i="4" s="1"/>
  <c r="D75" i="4"/>
  <c r="E75" i="4"/>
  <c r="D76" i="4"/>
  <c r="E76" i="4"/>
  <c r="D77" i="4"/>
  <c r="E77" i="4"/>
  <c r="I89" i="4"/>
  <c r="J88" i="4" s="1"/>
  <c r="L89" i="4"/>
  <c r="K98" i="4" s="1"/>
  <c r="J90" i="4"/>
  <c r="K89" i="4" s="1"/>
  <c r="J98" i="4" s="1"/>
  <c r="J91" i="4"/>
  <c r="K91" i="4"/>
  <c r="J100" i="4" s="1"/>
  <c r="C92" i="4"/>
  <c r="I90" i="4" s="1"/>
  <c r="C94" i="4"/>
  <c r="C110" i="4" s="1"/>
  <c r="I98" i="4"/>
  <c r="C99" i="4"/>
  <c r="J99" i="4"/>
  <c r="I100" i="4"/>
  <c r="K100" i="4"/>
  <c r="D109" i="4"/>
  <c r="E109" i="4"/>
  <c r="F109" i="4"/>
  <c r="D110" i="4"/>
  <c r="E110" i="4"/>
  <c r="F110" i="4"/>
  <c r="C111" i="4"/>
  <c r="D111" i="4"/>
  <c r="E111" i="4"/>
  <c r="F111" i="4"/>
  <c r="D118" i="4"/>
  <c r="E118" i="4" s="1"/>
  <c r="D119" i="4"/>
  <c r="E119" i="4"/>
  <c r="D120" i="4"/>
  <c r="E120" i="4"/>
  <c r="D121" i="4"/>
  <c r="E121" i="4" s="1"/>
  <c r="C122" i="4"/>
  <c r="E122" i="4" s="1"/>
  <c r="D122" i="4"/>
  <c r="D123" i="4"/>
  <c r="E123" i="4" s="1"/>
  <c r="C124" i="4"/>
  <c r="E124" i="4" s="1"/>
  <c r="D124" i="4"/>
  <c r="D125" i="4"/>
  <c r="E125" i="4" s="1"/>
  <c r="D126" i="4"/>
  <c r="E126" i="4"/>
  <c r="D127" i="4"/>
  <c r="E127" i="4"/>
  <c r="D128" i="4"/>
  <c r="E128" i="4" s="1"/>
  <c r="C129" i="4"/>
  <c r="E129" i="4" s="1"/>
  <c r="D129" i="4"/>
  <c r="D130" i="4"/>
  <c r="E130" i="4"/>
  <c r="D131" i="4"/>
  <c r="E131" i="4" s="1"/>
  <c r="D132" i="4"/>
  <c r="E132" i="4"/>
  <c r="D133" i="4"/>
  <c r="E133" i="4"/>
  <c r="D134" i="4"/>
  <c r="E134" i="4"/>
  <c r="D135" i="4"/>
  <c r="E135" i="4"/>
  <c r="D136" i="4"/>
  <c r="E136" i="4"/>
  <c r="D137" i="4"/>
  <c r="E137" i="4"/>
  <c r="G6" i="3"/>
  <c r="H6" i="3"/>
  <c r="G7" i="3"/>
  <c r="H7" i="3"/>
  <c r="G8" i="3"/>
  <c r="H8" i="3"/>
  <c r="H25" i="3" s="1"/>
  <c r="G9" i="3"/>
  <c r="H9" i="3"/>
  <c r="G10" i="3"/>
  <c r="H10" i="3"/>
  <c r="G11" i="3"/>
  <c r="H11" i="3"/>
  <c r="G12" i="3"/>
  <c r="G25" i="3" s="1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C25" i="3"/>
  <c r="D25" i="3"/>
  <c r="C26" i="3"/>
  <c r="D26" i="3"/>
  <c r="F33" i="3"/>
  <c r="F34" i="3"/>
  <c r="F35" i="3"/>
  <c r="F36" i="3"/>
  <c r="F37" i="3"/>
  <c r="F38" i="3"/>
  <c r="F39" i="3"/>
  <c r="I39" i="3"/>
  <c r="F40" i="3"/>
  <c r="I40" i="3"/>
  <c r="F41" i="3"/>
  <c r="F42" i="3"/>
  <c r="F43" i="3"/>
  <c r="F44" i="3"/>
  <c r="F45" i="3"/>
  <c r="F46" i="3"/>
  <c r="F47" i="3"/>
  <c r="F48" i="3"/>
  <c r="I48" i="3"/>
  <c r="F49" i="3"/>
  <c r="I49" i="3"/>
  <c r="F50" i="3"/>
  <c r="C52" i="3"/>
  <c r="D52" i="3"/>
  <c r="C53" i="3"/>
  <c r="I35" i="3" s="1"/>
  <c r="D53" i="3"/>
  <c r="I60" i="3"/>
  <c r="I65" i="3"/>
  <c r="I74" i="3"/>
  <c r="C79" i="3"/>
  <c r="D79" i="3"/>
  <c r="C80" i="3"/>
  <c r="I64" i="3" s="1"/>
  <c r="D80" i="3"/>
  <c r="D8" i="2"/>
  <c r="F8" i="2"/>
  <c r="G8" i="2"/>
  <c r="D9" i="2"/>
  <c r="F9" i="2"/>
  <c r="F27" i="2" s="1"/>
  <c r="C30" i="2" s="1"/>
  <c r="G9" i="2"/>
  <c r="D10" i="2"/>
  <c r="F10" i="2"/>
  <c r="G10" i="2"/>
  <c r="D11" i="2"/>
  <c r="F11" i="2"/>
  <c r="G11" i="2"/>
  <c r="D12" i="2"/>
  <c r="D27" i="2" s="1"/>
  <c r="C29" i="2" s="1"/>
  <c r="F12" i="2"/>
  <c r="G12" i="2"/>
  <c r="D13" i="2"/>
  <c r="F13" i="2"/>
  <c r="G13" i="2"/>
  <c r="D14" i="2"/>
  <c r="F14" i="2"/>
  <c r="G14" i="2"/>
  <c r="D15" i="2"/>
  <c r="F15" i="2"/>
  <c r="G15" i="2"/>
  <c r="D16" i="2"/>
  <c r="F16" i="2"/>
  <c r="G16" i="2"/>
  <c r="D17" i="2"/>
  <c r="F17" i="2"/>
  <c r="G17" i="2"/>
  <c r="D18" i="2"/>
  <c r="F18" i="2"/>
  <c r="G18" i="2"/>
  <c r="D19" i="2"/>
  <c r="F19" i="2"/>
  <c r="G19" i="2"/>
  <c r="D20" i="2"/>
  <c r="F20" i="2"/>
  <c r="G20" i="2"/>
  <c r="D21" i="2"/>
  <c r="F21" i="2"/>
  <c r="G21" i="2"/>
  <c r="D22" i="2"/>
  <c r="F22" i="2"/>
  <c r="G22" i="2"/>
  <c r="D23" i="2"/>
  <c r="F23" i="2"/>
  <c r="G23" i="2"/>
  <c r="D24" i="2"/>
  <c r="F24" i="2"/>
  <c r="G24" i="2"/>
  <c r="D25" i="2"/>
  <c r="F25" i="2"/>
  <c r="G25" i="2"/>
  <c r="C27" i="2"/>
  <c r="E27" i="2"/>
  <c r="C33" i="2" s="1"/>
  <c r="G27" i="2"/>
  <c r="C31" i="2" s="1"/>
  <c r="C32" i="2"/>
  <c r="C27" i="1"/>
  <c r="D27" i="1"/>
  <c r="C28" i="1"/>
  <c r="D28" i="1"/>
  <c r="D36" i="1" s="1"/>
  <c r="G30" i="3" s="1"/>
  <c r="C29" i="1"/>
  <c r="D29" i="1"/>
  <c r="C33" i="1"/>
  <c r="E3" i="3" s="1"/>
  <c r="D33" i="1"/>
  <c r="G3" i="3" s="1"/>
  <c r="C36" i="1"/>
  <c r="E30" i="3" s="1"/>
  <c r="C41" i="1"/>
  <c r="C60" i="1" s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E7" i="3" l="1"/>
  <c r="F7" i="3" s="1"/>
  <c r="E9" i="3"/>
  <c r="F9" i="3" s="1"/>
  <c r="E11" i="3"/>
  <c r="F11" i="3" s="1"/>
  <c r="E13" i="3"/>
  <c r="F13" i="3" s="1"/>
  <c r="E15" i="3"/>
  <c r="F15" i="3" s="1"/>
  <c r="E17" i="3"/>
  <c r="F17" i="3" s="1"/>
  <c r="E6" i="3"/>
  <c r="F6" i="3" s="1"/>
  <c r="E19" i="3"/>
  <c r="F19" i="3" s="1"/>
  <c r="E21" i="3"/>
  <c r="F21" i="3" s="1"/>
  <c r="E23" i="3"/>
  <c r="F23" i="3" s="1"/>
  <c r="E8" i="3"/>
  <c r="F8" i="3" s="1"/>
  <c r="E10" i="3"/>
  <c r="F10" i="3" s="1"/>
  <c r="E12" i="3"/>
  <c r="F12" i="3" s="1"/>
  <c r="E14" i="3"/>
  <c r="F14" i="3" s="1"/>
  <c r="E20" i="3"/>
  <c r="F20" i="3" s="1"/>
  <c r="E22" i="3"/>
  <c r="F22" i="3" s="1"/>
  <c r="E16" i="3"/>
  <c r="F16" i="3" s="1"/>
  <c r="E18" i="3"/>
  <c r="F18" i="3" s="1"/>
  <c r="X27" i="8"/>
  <c r="BC59" i="8"/>
  <c r="G39" i="3"/>
  <c r="AP77" i="8"/>
  <c r="T12" i="8"/>
  <c r="C36" i="2"/>
  <c r="C34" i="2"/>
  <c r="C35" i="2"/>
  <c r="I10" i="3"/>
  <c r="I14" i="3" s="1"/>
  <c r="I6" i="3"/>
  <c r="I18" i="3" s="1"/>
  <c r="AY55" i="8"/>
  <c r="T23" i="8"/>
  <c r="H46" i="4"/>
  <c r="I45" i="4"/>
  <c r="I46" i="4"/>
  <c r="H45" i="4"/>
  <c r="K88" i="4"/>
  <c r="I104" i="4"/>
  <c r="E37" i="3"/>
  <c r="E42" i="3"/>
  <c r="E41" i="3"/>
  <c r="E46" i="3"/>
  <c r="E50" i="3"/>
  <c r="E36" i="3"/>
  <c r="E45" i="3"/>
  <c r="E47" i="3"/>
  <c r="E40" i="3"/>
  <c r="E49" i="3"/>
  <c r="E35" i="3"/>
  <c r="E44" i="3"/>
  <c r="E33" i="3"/>
  <c r="G46" i="3" s="1"/>
  <c r="E38" i="3"/>
  <c r="E39" i="3"/>
  <c r="E48" i="3"/>
  <c r="E34" i="3"/>
  <c r="E43" i="3"/>
  <c r="G42" i="3"/>
  <c r="C38" i="2"/>
  <c r="E57" i="3" s="1"/>
  <c r="H41" i="4"/>
  <c r="I28" i="4"/>
  <c r="O14" i="5"/>
  <c r="O15" i="5" s="1"/>
  <c r="S11" i="8"/>
  <c r="AO76" i="8"/>
  <c r="H81" i="6"/>
  <c r="BK67" i="8"/>
  <c r="AF35" i="8"/>
  <c r="I70" i="3"/>
  <c r="I61" i="3"/>
  <c r="I45" i="3"/>
  <c r="I36" i="3"/>
  <c r="I99" i="4"/>
  <c r="I108" i="4" s="1" a="1"/>
  <c r="C15" i="4"/>
  <c r="H31" i="5"/>
  <c r="C29" i="5"/>
  <c r="N14" i="5"/>
  <c r="G13" i="5"/>
  <c r="G30" i="5" s="1"/>
  <c r="H76" i="6"/>
  <c r="I69" i="6"/>
  <c r="H67" i="6"/>
  <c r="H63" i="6"/>
  <c r="K50" i="8"/>
  <c r="K34" i="8"/>
  <c r="P114" i="10"/>
  <c r="P49" i="10"/>
  <c r="H116" i="10"/>
  <c r="P116" i="10" s="1"/>
  <c r="T15" i="10"/>
  <c r="AC7" i="10" s="1"/>
  <c r="U18" i="10"/>
  <c r="AF8" i="10" s="1"/>
  <c r="H74" i="6"/>
  <c r="I67" i="6"/>
  <c r="H65" i="6"/>
  <c r="AU51" i="8"/>
  <c r="P19" i="8"/>
  <c r="I75" i="3"/>
  <c r="I66" i="3"/>
  <c r="I50" i="3"/>
  <c r="I46" i="3"/>
  <c r="I41" i="3"/>
  <c r="I91" i="4"/>
  <c r="H30" i="4"/>
  <c r="C20" i="4"/>
  <c r="G31" i="5"/>
  <c r="H78" i="6"/>
  <c r="I71" i="6"/>
  <c r="H69" i="6"/>
  <c r="C29" i="6"/>
  <c r="H8" i="6"/>
  <c r="J6" i="6" s="1"/>
  <c r="C28" i="6"/>
  <c r="K47" i="8"/>
  <c r="BB58" i="8"/>
  <c r="W26" i="8"/>
  <c r="K41" i="8"/>
  <c r="G54" i="8"/>
  <c r="AD33" i="8"/>
  <c r="C54" i="8"/>
  <c r="P120" i="10"/>
  <c r="M127" i="10"/>
  <c r="M126" i="10"/>
  <c r="M125" i="10"/>
  <c r="M124" i="10"/>
  <c r="F85" i="10"/>
  <c r="N127" i="10"/>
  <c r="N126" i="10"/>
  <c r="N125" i="10"/>
  <c r="D62" i="10"/>
  <c r="U12" i="10"/>
  <c r="Y8" i="10" s="1"/>
  <c r="AK72" i="8"/>
  <c r="O7" i="8"/>
  <c r="I71" i="3"/>
  <c r="I62" i="3"/>
  <c r="I42" i="3"/>
  <c r="I37" i="3"/>
  <c r="I103" i="4"/>
  <c r="L90" i="4"/>
  <c r="K99" i="4" s="1"/>
  <c r="H28" i="5"/>
  <c r="H80" i="6"/>
  <c r="I73" i="6"/>
  <c r="H71" i="6"/>
  <c r="H64" i="6"/>
  <c r="C30" i="6"/>
  <c r="AC32" i="8"/>
  <c r="BH64" i="8"/>
  <c r="K33" i="8"/>
  <c r="P115" i="10"/>
  <c r="L122" i="10"/>
  <c r="D66" i="10"/>
  <c r="T7" i="10"/>
  <c r="I76" i="3"/>
  <c r="I67" i="3"/>
  <c r="I47" i="3"/>
  <c r="I38" i="3"/>
  <c r="I33" i="3"/>
  <c r="C109" i="4"/>
  <c r="C51" i="4"/>
  <c r="H56" i="5" a="1"/>
  <c r="G28" i="5"/>
  <c r="H82" i="6"/>
  <c r="I75" i="6"/>
  <c r="H73" i="6"/>
  <c r="K40" i="8"/>
  <c r="F54" i="8"/>
  <c r="I127" i="10"/>
  <c r="D64" i="10"/>
  <c r="F81" i="10"/>
  <c r="Z17" i="10"/>
  <c r="AE13" i="10" s="1"/>
  <c r="I64" i="6"/>
  <c r="I66" i="6"/>
  <c r="I68" i="6"/>
  <c r="I70" i="6"/>
  <c r="I72" i="6"/>
  <c r="I74" i="6"/>
  <c r="I76" i="6"/>
  <c r="I78" i="6"/>
  <c r="I80" i="6"/>
  <c r="I82" i="6"/>
  <c r="L125" i="10"/>
  <c r="D94" i="10"/>
  <c r="I72" i="3"/>
  <c r="I63" i="3"/>
  <c r="I43" i="3"/>
  <c r="I34" i="3"/>
  <c r="C49" i="4"/>
  <c r="R29" i="4"/>
  <c r="R32" i="4" s="1" a="1"/>
  <c r="D16" i="4"/>
  <c r="M57" i="5"/>
  <c r="N56" i="5" s="1"/>
  <c r="H29" i="5"/>
  <c r="I77" i="6"/>
  <c r="H75" i="6"/>
  <c r="H68" i="6"/>
  <c r="K46" i="8"/>
  <c r="K38" i="8"/>
  <c r="K37" i="8"/>
  <c r="P112" i="10"/>
  <c r="M123" i="10"/>
  <c r="J126" i="10"/>
  <c r="J125" i="10"/>
  <c r="J124" i="10"/>
  <c r="J123" i="10"/>
  <c r="J122" i="10"/>
  <c r="E61" i="10"/>
  <c r="E64" i="10"/>
  <c r="I73" i="3"/>
  <c r="I68" i="3"/>
  <c r="C16" i="4"/>
  <c r="H40" i="5"/>
  <c r="I39" i="5" s="1"/>
  <c r="I79" i="6"/>
  <c r="H77" i="6"/>
  <c r="H70" i="6"/>
  <c r="C32" i="7"/>
  <c r="C46" i="7" s="1"/>
  <c r="C30" i="7"/>
  <c r="C31" i="7" s="1"/>
  <c r="C33" i="7"/>
  <c r="C28" i="7"/>
  <c r="K45" i="8"/>
  <c r="E54" i="8"/>
  <c r="N123" i="10"/>
  <c r="P106" i="10"/>
  <c r="F84" i="10"/>
  <c r="K55" i="10"/>
  <c r="K57" i="10"/>
  <c r="K60" i="10"/>
  <c r="K59" i="10"/>
  <c r="K105" i="10"/>
  <c r="K124" i="10" s="1"/>
  <c r="I60" i="10"/>
  <c r="I103" i="10"/>
  <c r="I126" i="10" s="1"/>
  <c r="H102" i="10"/>
  <c r="P102" i="10" s="1"/>
  <c r="P35" i="10"/>
  <c r="H56" i="10"/>
  <c r="H57" i="10"/>
  <c r="H58" i="10"/>
  <c r="H59" i="10"/>
  <c r="W23" i="10"/>
  <c r="W24" i="10" s="1"/>
  <c r="W25" i="10" s="1"/>
  <c r="I77" i="3"/>
  <c r="I69" i="3"/>
  <c r="I44" i="3"/>
  <c r="I81" i="6"/>
  <c r="H79" i="6"/>
  <c r="H72" i="6"/>
  <c r="I65" i="6"/>
  <c r="I63" i="6"/>
  <c r="C29" i="7"/>
  <c r="K52" i="8"/>
  <c r="K44" i="8"/>
  <c r="K36" i="8"/>
  <c r="M122" i="10"/>
  <c r="P117" i="10"/>
  <c r="P113" i="10"/>
  <c r="P107" i="10"/>
  <c r="K125" i="10"/>
  <c r="K123" i="10"/>
  <c r="N122" i="10"/>
  <c r="E88" i="10"/>
  <c r="E98" i="10" s="1"/>
  <c r="P44" i="10"/>
  <c r="H111" i="10"/>
  <c r="P111" i="10" s="1"/>
  <c r="N124" i="10"/>
  <c r="L113" i="10"/>
  <c r="L127" i="10" s="1"/>
  <c r="C73" i="10"/>
  <c r="F73" i="10" s="1"/>
  <c r="C66" i="10"/>
  <c r="D61" i="10"/>
  <c r="N59" i="10"/>
  <c r="P47" i="10"/>
  <c r="H103" i="10"/>
  <c r="P103" i="10" s="1"/>
  <c r="P36" i="10"/>
  <c r="V15" i="10"/>
  <c r="AC9" i="10" s="1"/>
  <c r="BC55" i="11"/>
  <c r="AS11" i="8"/>
  <c r="AW9" i="8"/>
  <c r="AU8" i="8"/>
  <c r="AS7" i="8"/>
  <c r="AS6" i="8"/>
  <c r="P45" i="10"/>
  <c r="H104" i="10"/>
  <c r="P104" i="10" s="1"/>
  <c r="P37" i="10"/>
  <c r="AE17" i="10"/>
  <c r="V24" i="10"/>
  <c r="V26" i="10" s="1"/>
  <c r="CC57" i="11"/>
  <c r="E57" i="7"/>
  <c r="E53" i="7"/>
  <c r="E49" i="7"/>
  <c r="E45" i="7"/>
  <c r="E41" i="7"/>
  <c r="E61" i="7" s="1"/>
  <c r="AL6" i="7"/>
  <c r="AM6" i="7" s="1"/>
  <c r="AL63" i="8"/>
  <c r="AL61" i="8"/>
  <c r="AJ59" i="8"/>
  <c r="AX10" i="8"/>
  <c r="AV9" i="8"/>
  <c r="AT8" i="8"/>
  <c r="E65" i="10"/>
  <c r="N58" i="10"/>
  <c r="N57" i="10"/>
  <c r="N55" i="10"/>
  <c r="V12" i="10"/>
  <c r="Y9" i="10" s="1"/>
  <c r="H105" i="10"/>
  <c r="P38" i="10"/>
  <c r="AD17" i="10"/>
  <c r="AE16" i="10" s="1"/>
  <c r="Z14" i="10"/>
  <c r="AB13" i="10" s="1"/>
  <c r="C32" i="10"/>
  <c r="C28" i="10"/>
  <c r="C44" i="10"/>
  <c r="C31" i="10"/>
  <c r="C33" i="10"/>
  <c r="BC62" i="11"/>
  <c r="CC59" i="11"/>
  <c r="CC58" i="11"/>
  <c r="D57" i="7"/>
  <c r="D53" i="7"/>
  <c r="D49" i="7"/>
  <c r="D45" i="7"/>
  <c r="AK63" i="8"/>
  <c r="AK61" i="8"/>
  <c r="AL58" i="8"/>
  <c r="AW10" i="8"/>
  <c r="AU9" i="8"/>
  <c r="AS8" i="8"/>
  <c r="AX6" i="8"/>
  <c r="J59" i="10"/>
  <c r="L58" i="10"/>
  <c r="L57" i="10"/>
  <c r="L55" i="10"/>
  <c r="E62" i="10"/>
  <c r="N60" i="10"/>
  <c r="U16" i="10"/>
  <c r="AD8" i="10" s="1"/>
  <c r="D65" i="10"/>
  <c r="U8" i="10"/>
  <c r="U13" i="10"/>
  <c r="Z8" i="10" s="1"/>
  <c r="U17" i="10"/>
  <c r="AE8" i="10" s="1"/>
  <c r="U9" i="10"/>
  <c r="V8" i="10" s="1"/>
  <c r="U14" i="10"/>
  <c r="AB8" i="10" s="1"/>
  <c r="U15" i="10"/>
  <c r="AC8" i="10" s="1"/>
  <c r="D63" i="10"/>
  <c r="P39" i="10"/>
  <c r="K56" i="10"/>
  <c r="K58" i="10"/>
  <c r="AC18" i="10"/>
  <c r="AF15" i="10" s="1"/>
  <c r="AC15" i="10"/>
  <c r="V14" i="10"/>
  <c r="AB9" i="10" s="1"/>
  <c r="AL7" i="7"/>
  <c r="AX11" i="8"/>
  <c r="AV10" i="8"/>
  <c r="AT9" i="8"/>
  <c r="AX7" i="8"/>
  <c r="AW6" i="8"/>
  <c r="J58" i="10"/>
  <c r="N56" i="10"/>
  <c r="P50" i="10"/>
  <c r="M56" i="10"/>
  <c r="M58" i="10"/>
  <c r="M55" i="10"/>
  <c r="M57" i="10"/>
  <c r="M59" i="10"/>
  <c r="C62" i="10"/>
  <c r="T8" i="10"/>
  <c r="U7" i="10" s="1"/>
  <c r="T13" i="10"/>
  <c r="Z7" i="10" s="1"/>
  <c r="T17" i="10"/>
  <c r="AE7" i="10" s="1"/>
  <c r="C64" i="10"/>
  <c r="C72" i="10"/>
  <c r="T9" i="10"/>
  <c r="V7" i="10" s="1"/>
  <c r="T14" i="10"/>
  <c r="AB7" i="10" s="1"/>
  <c r="T12" i="10"/>
  <c r="Y7" i="10" s="1"/>
  <c r="AB14" i="10"/>
  <c r="AF18" i="10"/>
  <c r="V9" i="10"/>
  <c r="BC63" i="11"/>
  <c r="AW11" i="8"/>
  <c r="AU10" i="8"/>
  <c r="AS9" i="8"/>
  <c r="AW7" i="8"/>
  <c r="AV6" i="8"/>
  <c r="H85" i="10"/>
  <c r="H86" i="10" s="1"/>
  <c r="H87" i="10" s="1"/>
  <c r="H88" i="10" s="1"/>
  <c r="H89" i="10" s="1"/>
  <c r="H90" i="10" s="1"/>
  <c r="H91" i="10" s="1"/>
  <c r="H92" i="10" s="1"/>
  <c r="D79" i="10"/>
  <c r="F79" i="10" s="1"/>
  <c r="J60" i="10"/>
  <c r="J57" i="10"/>
  <c r="J56" i="10"/>
  <c r="P53" i="10"/>
  <c r="AB16" i="10"/>
  <c r="AD14" i="10" s="1"/>
  <c r="Z18" i="10"/>
  <c r="AF13" i="10" s="1"/>
  <c r="Z15" i="10"/>
  <c r="AC13" i="10" s="1"/>
  <c r="I55" i="10"/>
  <c r="I57" i="10"/>
  <c r="I59" i="10"/>
  <c r="Z16" i="10"/>
  <c r="AD13" i="10" s="1"/>
  <c r="Y13" i="10"/>
  <c r="Z12" i="10" s="1"/>
  <c r="I56" i="10"/>
  <c r="I58" i="10"/>
  <c r="AE18" i="10"/>
  <c r="AF17" i="10" s="1"/>
  <c r="AC16" i="10"/>
  <c r="AD15" i="10" s="1"/>
  <c r="Z13" i="10"/>
  <c r="C55" i="11"/>
  <c r="E59" i="7"/>
  <c r="E55" i="7"/>
  <c r="E51" i="7"/>
  <c r="E47" i="7"/>
  <c r="AL64" i="8"/>
  <c r="AL62" i="8"/>
  <c r="AK60" i="8"/>
  <c r="AV11" i="8"/>
  <c r="AT10" i="8"/>
  <c r="AX8" i="8"/>
  <c r="AV7" i="8"/>
  <c r="E66" i="10"/>
  <c r="L56" i="10"/>
  <c r="L60" i="10"/>
  <c r="P41" i="10"/>
  <c r="Y15" i="10"/>
  <c r="AC12" i="10" s="1"/>
  <c r="Y12" i="10"/>
  <c r="H55" i="10"/>
  <c r="Y16" i="10"/>
  <c r="AD12" i="10" s="1"/>
  <c r="H60" i="10"/>
  <c r="H101" i="10"/>
  <c r="P34" i="10"/>
  <c r="Y17" i="10"/>
  <c r="AE12" i="10" s="1"/>
  <c r="Y14" i="10"/>
  <c r="AB12" i="10" s="1"/>
  <c r="Y18" i="10"/>
  <c r="AF12" i="10" s="1"/>
  <c r="T16" i="10"/>
  <c r="AD7" i="10" s="1"/>
  <c r="BP62" i="11"/>
  <c r="CC61" i="11"/>
  <c r="CC56" i="11"/>
  <c r="BC54" i="11"/>
  <c r="E55" i="11"/>
  <c r="D56" i="11" s="1"/>
  <c r="Q55" i="11"/>
  <c r="BK11" i="11"/>
  <c r="BK10" i="11"/>
  <c r="BK16" i="11"/>
  <c r="BK15" i="11"/>
  <c r="BK18" i="11"/>
  <c r="BK32" i="11"/>
  <c r="BK35" i="11"/>
  <c r="BK38" i="11"/>
  <c r="BK12" i="11"/>
  <c r="BK40" i="11"/>
  <c r="BK14" i="11"/>
  <c r="BK57" i="11"/>
  <c r="BP57" i="11" s="1"/>
  <c r="BK19" i="11"/>
  <c r="BK39" i="11"/>
  <c r="V18" i="10"/>
  <c r="AF9" i="10" s="1"/>
  <c r="AB17" i="10"/>
  <c r="AE14" i="10" s="1"/>
  <c r="AD16" i="10"/>
  <c r="L56" i="11"/>
  <c r="Q54" i="11"/>
  <c r="O64" i="11" s="1" a="1"/>
  <c r="AR11" i="11"/>
  <c r="F54" i="11"/>
  <c r="C57" i="11" s="1"/>
  <c r="AS8" i="11"/>
  <c r="L54" i="11"/>
  <c r="CC38" i="11"/>
  <c r="CC35" i="11"/>
  <c r="AC14" i="11"/>
  <c r="AC16" i="11"/>
  <c r="AC13" i="11"/>
  <c r="AC17" i="11"/>
  <c r="AC18" i="11"/>
  <c r="BJ12" i="11"/>
  <c r="BJ15" i="11"/>
  <c r="BJ33" i="11"/>
  <c r="C35" i="11"/>
  <c r="BJ36" i="11"/>
  <c r="BP36" i="11" s="1"/>
  <c r="BJ13" i="11"/>
  <c r="BJ17" i="11"/>
  <c r="BJ34" i="11"/>
  <c r="BJ37" i="11"/>
  <c r="BJ19" i="11"/>
  <c r="BJ39" i="11"/>
  <c r="BP39" i="11" s="1"/>
  <c r="BJ54" i="11"/>
  <c r="BJ10" i="11"/>
  <c r="BJ16" i="11"/>
  <c r="AI16" i="11"/>
  <c r="AC11" i="11"/>
  <c r="AR9" i="11"/>
  <c r="I57" i="11"/>
  <c r="D47" i="11"/>
  <c r="AS9" i="11"/>
  <c r="AR8" i="11"/>
  <c r="C46" i="11"/>
  <c r="BK37" i="11"/>
  <c r="D37" i="11"/>
  <c r="BC32" i="11"/>
  <c r="AB11" i="11"/>
  <c r="AB15" i="11"/>
  <c r="AB12" i="11"/>
  <c r="AB14" i="11"/>
  <c r="AB18" i="11"/>
  <c r="AB16" i="11"/>
  <c r="AB19" i="11"/>
  <c r="AU77" i="12"/>
  <c r="AX77" i="12" s="1"/>
  <c r="Z77" i="12"/>
  <c r="AV77" i="12"/>
  <c r="AY77" i="12" s="1"/>
  <c r="AA77" i="12"/>
  <c r="BK36" i="11"/>
  <c r="CC32" i="11"/>
  <c r="BK17" i="11"/>
  <c r="BJ14" i="11"/>
  <c r="AB13" i="11"/>
  <c r="BM11" i="11"/>
  <c r="AD18" i="10"/>
  <c r="AF16" i="10" s="1"/>
  <c r="V17" i="10"/>
  <c r="AE9" i="10" s="1"/>
  <c r="V13" i="10"/>
  <c r="Z9" i="10" s="1"/>
  <c r="CC55" i="11"/>
  <c r="BK54" i="11"/>
  <c r="K54" i="11"/>
  <c r="BC33" i="11"/>
  <c r="BX33" i="11"/>
  <c r="CC33" i="11" s="1"/>
  <c r="BX36" i="11"/>
  <c r="CC36" i="11" s="1"/>
  <c r="BX34" i="11"/>
  <c r="CC34" i="11" s="1"/>
  <c r="BX37" i="11"/>
  <c r="BX19" i="11"/>
  <c r="CC19" i="11" s="1"/>
  <c r="BX39" i="11"/>
  <c r="CC39" i="11" s="1"/>
  <c r="BX54" i="11"/>
  <c r="CC54" i="11" s="1"/>
  <c r="AX10" i="11"/>
  <c r="AX14" i="11"/>
  <c r="AX13" i="11"/>
  <c r="AX16" i="11"/>
  <c r="BC16" i="11" s="1"/>
  <c r="AX41" i="11"/>
  <c r="BC41" i="11" s="1"/>
  <c r="AX56" i="11"/>
  <c r="BC56" i="11" s="1"/>
  <c r="AX33" i="11"/>
  <c r="AX36" i="11"/>
  <c r="BC36" i="11" s="1"/>
  <c r="AX11" i="11"/>
  <c r="BC11" i="11" s="1"/>
  <c r="AX17" i="11"/>
  <c r="AX34" i="11"/>
  <c r="BC34" i="11" s="1"/>
  <c r="AX37" i="11"/>
  <c r="BC37" i="11" s="1"/>
  <c r="AX12" i="11"/>
  <c r="AX19" i="11"/>
  <c r="BJ11" i="11"/>
  <c r="BX10" i="11"/>
  <c r="AB15" i="10"/>
  <c r="AC14" i="10" s="1"/>
  <c r="BK63" i="11"/>
  <c r="BP63" i="11" s="1"/>
  <c r="BK60" i="11"/>
  <c r="BP60" i="11" s="1"/>
  <c r="BK58" i="11"/>
  <c r="BP58" i="11" s="1"/>
  <c r="R54" i="11"/>
  <c r="I47" i="11"/>
  <c r="O57" i="11" s="1"/>
  <c r="AI14" i="11"/>
  <c r="AI11" i="11"/>
  <c r="AI12" i="11"/>
  <c r="AI19" i="11"/>
  <c r="AI15" i="11"/>
  <c r="AI17" i="11"/>
  <c r="W14" i="11"/>
  <c r="W15" i="11"/>
  <c r="W11" i="11"/>
  <c r="W19" i="11"/>
  <c r="W12" i="11"/>
  <c r="W17" i="11"/>
  <c r="W13" i="11"/>
  <c r="AI20" i="11"/>
  <c r="BJ18" i="11"/>
  <c r="AB17" i="11"/>
  <c r="AF15" i="11"/>
  <c r="AB18" i="10"/>
  <c r="AF14" i="10" s="1"/>
  <c r="V16" i="10"/>
  <c r="AD9" i="10" s="1"/>
  <c r="BC61" i="11"/>
  <c r="K57" i="11"/>
  <c r="BK56" i="11"/>
  <c r="BP56" i="11" s="1"/>
  <c r="E56" i="11"/>
  <c r="L55" i="11"/>
  <c r="BK41" i="11"/>
  <c r="CC37" i="11"/>
  <c r="D35" i="11"/>
  <c r="BJ32" i="11"/>
  <c r="BM13" i="11"/>
  <c r="BM16" i="11"/>
  <c r="BM59" i="11"/>
  <c r="BM15" i="11"/>
  <c r="BM18" i="11"/>
  <c r="BM32" i="11"/>
  <c r="BM35" i="11"/>
  <c r="BM38" i="11"/>
  <c r="BM12" i="11"/>
  <c r="BM40" i="11"/>
  <c r="BP40" i="11" s="1"/>
  <c r="BM55" i="11"/>
  <c r="BP55" i="11" s="1"/>
  <c r="BM14" i="11"/>
  <c r="BM17" i="11"/>
  <c r="BM34" i="11"/>
  <c r="BM37" i="11"/>
  <c r="W18" i="11"/>
  <c r="AC15" i="11"/>
  <c r="BX13" i="11"/>
  <c r="BK13" i="11"/>
  <c r="AC12" i="11"/>
  <c r="BK61" i="11"/>
  <c r="BP61" i="11" s="1"/>
  <c r="BK59" i="11"/>
  <c r="BP59" i="11" s="1"/>
  <c r="E54" i="11"/>
  <c r="C56" i="11" s="1"/>
  <c r="BP41" i="11"/>
  <c r="BK34" i="11"/>
  <c r="BK33" i="11"/>
  <c r="AF12" i="11"/>
  <c r="AF19" i="11"/>
  <c r="AF14" i="11"/>
  <c r="AF17" i="11"/>
  <c r="AF11" i="11"/>
  <c r="AC20" i="11"/>
  <c r="AX18" i="11"/>
  <c r="BX16" i="11"/>
  <c r="BX15" i="11"/>
  <c r="AQ10" i="11"/>
  <c r="AQ8" i="11"/>
  <c r="AZ12" i="11"/>
  <c r="BZ11" i="11" s="1"/>
  <c r="AZ15" i="11"/>
  <c r="BZ14" i="11" s="1"/>
  <c r="AL20" i="11"/>
  <c r="Z20" i="11"/>
  <c r="AW19" i="11"/>
  <c r="AY17" i="11"/>
  <c r="BY16" i="11" s="1"/>
  <c r="AK17" i="11"/>
  <c r="Y17" i="11"/>
  <c r="Y23" i="11" s="1"/>
  <c r="BW15" i="11"/>
  <c r="AL14" i="11"/>
  <c r="V14" i="11"/>
  <c r="AW13" i="11"/>
  <c r="AF78" i="12"/>
  <c r="AK13" i="11"/>
  <c r="AK22" i="11" s="1"/>
  <c r="AK16" i="11"/>
  <c r="Y13" i="11"/>
  <c r="Y16" i="11"/>
  <c r="AY13" i="11"/>
  <c r="BY12" i="11" s="1"/>
  <c r="AY16" i="11"/>
  <c r="BY15" i="11" s="1"/>
  <c r="AK20" i="11"/>
  <c r="Y20" i="11"/>
  <c r="AL19" i="11"/>
  <c r="Z19" i="11"/>
  <c r="BL17" i="11"/>
  <c r="BW16" i="11"/>
  <c r="Z16" i="11"/>
  <c r="AY15" i="11"/>
  <c r="BY14" i="11" s="1"/>
  <c r="AK14" i="11"/>
  <c r="BL13" i="11"/>
  <c r="AL13" i="11"/>
  <c r="AW12" i="11"/>
  <c r="AE11" i="11"/>
  <c r="AH11" i="11"/>
  <c r="AH15" i="11"/>
  <c r="V11" i="11"/>
  <c r="V15" i="11"/>
  <c r="CC13" i="11"/>
  <c r="AH20" i="11"/>
  <c r="V20" i="11"/>
  <c r="AY18" i="11"/>
  <c r="BY17" i="11" s="1"/>
  <c r="AK18" i="11"/>
  <c r="Y18" i="11"/>
  <c r="AL16" i="11"/>
  <c r="V16" i="11"/>
  <c r="AW15" i="11"/>
  <c r="AH13" i="11"/>
  <c r="Z11" i="11"/>
  <c r="BW10" i="11"/>
  <c r="AZ10" i="11"/>
  <c r="AD73" i="12"/>
  <c r="AH73" i="12" s="1"/>
  <c r="Z73" i="12"/>
  <c r="AA73" i="12"/>
  <c r="AV73" i="12"/>
  <c r="AY73" i="12" s="1"/>
  <c r="AD69" i="12"/>
  <c r="AH69" i="12" s="1"/>
  <c r="Z69" i="12"/>
  <c r="AA69" i="12"/>
  <c r="AF55" i="12"/>
  <c r="BP54" i="12"/>
  <c r="C45" i="11"/>
  <c r="AE13" i="11"/>
  <c r="AE16" i="11"/>
  <c r="BL10" i="11"/>
  <c r="BL14" i="11"/>
  <c r="AE20" i="11"/>
  <c r="AZ19" i="11"/>
  <c r="BZ18" i="11" s="1"/>
  <c r="AW18" i="11"/>
  <c r="AH18" i="11"/>
  <c r="V18" i="11"/>
  <c r="AH16" i="11"/>
  <c r="Z15" i="11"/>
  <c r="BW14" i="11"/>
  <c r="AZ14" i="11"/>
  <c r="BZ13" i="11" s="1"/>
  <c r="AE12" i="11"/>
  <c r="AL11" i="11"/>
  <c r="AW10" i="11"/>
  <c r="AK146" i="12"/>
  <c r="AL146" i="12" s="1"/>
  <c r="AM146" i="12" s="1"/>
  <c r="BS63" i="12"/>
  <c r="BT63" i="12"/>
  <c r="AA74" i="12"/>
  <c r="AD74" i="12"/>
  <c r="AH74" i="12" s="1"/>
  <c r="AU74" i="12"/>
  <c r="AX74" i="12" s="1"/>
  <c r="AF47" i="12"/>
  <c r="Q84" i="12"/>
  <c r="E84" i="12"/>
  <c r="Q81" i="12"/>
  <c r="E81" i="12"/>
  <c r="AU79" i="12"/>
  <c r="AX79" i="12" s="1"/>
  <c r="Y79" i="12"/>
  <c r="N78" i="12"/>
  <c r="B78" i="12"/>
  <c r="AM107" i="12" s="1"/>
  <c r="Q77" i="12"/>
  <c r="AA27" i="12"/>
  <c r="AC70" i="12"/>
  <c r="Y51" i="12"/>
  <c r="AU51" i="12"/>
  <c r="AX51" i="12" s="1"/>
  <c r="AC51" i="12"/>
  <c r="AV51" i="12"/>
  <c r="AY51" i="12" s="1"/>
  <c r="Y25" i="12"/>
  <c r="AU25" i="12"/>
  <c r="AX25" i="12" s="1"/>
  <c r="Z25" i="12"/>
  <c r="AV25" i="12"/>
  <c r="AY25" i="12" s="1"/>
  <c r="AC25" i="12"/>
  <c r="W59" i="12"/>
  <c r="O77" i="12"/>
  <c r="W9" i="12"/>
  <c r="C77" i="12"/>
  <c r="O84" i="12"/>
  <c r="C84" i="12"/>
  <c r="O81" i="12"/>
  <c r="AD77" i="12" s="1"/>
  <c r="AH77" i="12" s="1"/>
  <c r="C81" i="12"/>
  <c r="AD27" i="12" s="1"/>
  <c r="AH27" i="12" s="1"/>
  <c r="AV78" i="12"/>
  <c r="AY78" i="12" s="1"/>
  <c r="BS65" i="12" s="1"/>
  <c r="Z78" i="12"/>
  <c r="AC77" i="12"/>
  <c r="N77" i="12"/>
  <c r="AA55" i="12"/>
  <c r="AD55" i="12"/>
  <c r="AH55" i="12" s="1"/>
  <c r="AA53" i="12"/>
  <c r="AD53" i="12"/>
  <c r="AH53" i="12" s="1"/>
  <c r="AC27" i="12"/>
  <c r="Y27" i="12"/>
  <c r="AU27" i="12"/>
  <c r="AX27" i="12" s="1"/>
  <c r="Z27" i="12"/>
  <c r="AV27" i="12"/>
  <c r="AY27" i="12" s="1"/>
  <c r="AA48" i="12"/>
  <c r="AD48" i="12"/>
  <c r="AH48" i="12" s="1"/>
  <c r="AD75" i="12"/>
  <c r="AH75" i="12" s="1"/>
  <c r="Z74" i="12"/>
  <c r="Y55" i="12"/>
  <c r="AU55" i="12"/>
  <c r="AX55" i="12" s="1"/>
  <c r="Z55" i="12"/>
  <c r="AV55" i="12"/>
  <c r="AY55" i="12" s="1"/>
  <c r="Y29" i="12"/>
  <c r="AU29" i="12"/>
  <c r="AX29" i="12" s="1"/>
  <c r="Z29" i="12"/>
  <c r="AV29" i="12"/>
  <c r="AY29" i="12" s="1"/>
  <c r="AC29" i="12"/>
  <c r="Y53" i="12"/>
  <c r="AU53" i="12"/>
  <c r="AX53" i="12" s="1"/>
  <c r="Z53" i="12"/>
  <c r="AV53" i="12"/>
  <c r="AY53" i="12" s="1"/>
  <c r="BT57" i="12"/>
  <c r="AC68" i="12"/>
  <c r="AC67" i="12"/>
  <c r="AC66" i="12"/>
  <c r="AC65" i="12"/>
  <c r="AC64" i="12"/>
  <c r="AC63" i="12"/>
  <c r="AC62" i="12"/>
  <c r="AC61" i="12"/>
  <c r="AC60" i="12"/>
  <c r="AC59" i="12"/>
  <c r="AU63" i="12"/>
  <c r="AX63" i="12" s="1"/>
  <c r="Z63" i="12"/>
  <c r="AV63" i="12"/>
  <c r="AY63" i="12" s="1"/>
  <c r="AA63" i="12"/>
  <c r="AD63" i="12"/>
  <c r="AH63" i="12" s="1"/>
  <c r="AA13" i="12"/>
  <c r="AD13" i="12"/>
  <c r="AH13" i="12" s="1"/>
  <c r="AU60" i="12"/>
  <c r="AX60" i="12" s="1"/>
  <c r="Z60" i="12"/>
  <c r="AV60" i="12"/>
  <c r="AY60" i="12" s="1"/>
  <c r="AA60" i="12"/>
  <c r="AD60" i="12"/>
  <c r="AH60" i="12" s="1"/>
  <c r="AD10" i="12"/>
  <c r="AH10" i="12" s="1"/>
  <c r="AA10" i="12"/>
  <c r="O83" i="12"/>
  <c r="C83" i="12"/>
  <c r="AC80" i="12"/>
  <c r="O80" i="12"/>
  <c r="C80" i="12"/>
  <c r="I78" i="12"/>
  <c r="K77" i="12"/>
  <c r="V75" i="12"/>
  <c r="AC71" i="12"/>
  <c r="AA50" i="12"/>
  <c r="AD50" i="12"/>
  <c r="AH50" i="12" s="1"/>
  <c r="AD49" i="12"/>
  <c r="AH49" i="12" s="1"/>
  <c r="AA49" i="12"/>
  <c r="AA47" i="12"/>
  <c r="AD47" i="12"/>
  <c r="AH47" i="12" s="1"/>
  <c r="BS45" i="12"/>
  <c r="BT45" i="12"/>
  <c r="AU64" i="12"/>
  <c r="AX64" i="12" s="1"/>
  <c r="Z64" i="12"/>
  <c r="AV64" i="12"/>
  <c r="AY64" i="12" s="1"/>
  <c r="AA64" i="12"/>
  <c r="AD64" i="12"/>
  <c r="AH64" i="12" s="1"/>
  <c r="AA14" i="12"/>
  <c r="AD14" i="12"/>
  <c r="AH14" i="12" s="1"/>
  <c r="Y57" i="12"/>
  <c r="AU57" i="12"/>
  <c r="AX57" i="12" s="1"/>
  <c r="Z57" i="12"/>
  <c r="AV57" i="12"/>
  <c r="AY57" i="12" s="1"/>
  <c r="N83" i="12"/>
  <c r="B83" i="12"/>
  <c r="Q82" i="12"/>
  <c r="E82" i="12"/>
  <c r="B80" i="12"/>
  <c r="Q79" i="12"/>
  <c r="E79" i="12"/>
  <c r="AA52" i="12"/>
  <c r="AD52" i="12"/>
  <c r="AH52" i="12" s="1"/>
  <c r="Y69" i="12"/>
  <c r="AU69" i="12"/>
  <c r="AX69" i="12" s="1"/>
  <c r="AC69" i="12"/>
  <c r="Y50" i="12"/>
  <c r="Z50" i="12"/>
  <c r="AU50" i="12"/>
  <c r="AX50" i="12" s="1"/>
  <c r="AC50" i="12"/>
  <c r="AV50" i="12"/>
  <c r="AY50" i="12" s="1"/>
  <c r="Y49" i="12"/>
  <c r="AU49" i="12"/>
  <c r="AX49" i="12" s="1"/>
  <c r="AC49" i="12"/>
  <c r="AV49" i="12"/>
  <c r="AY49" i="12" s="1"/>
  <c r="AC48" i="12"/>
  <c r="Y48" i="12"/>
  <c r="AU48" i="12"/>
  <c r="AX48" i="12" s="1"/>
  <c r="Z48" i="12"/>
  <c r="AV48" i="12"/>
  <c r="AY48" i="12" s="1"/>
  <c r="Y47" i="12"/>
  <c r="AU47" i="12"/>
  <c r="AX47" i="12" s="1"/>
  <c r="Z47" i="12"/>
  <c r="AV47" i="12"/>
  <c r="AY47" i="12" s="1"/>
  <c r="Z46" i="12"/>
  <c r="AV46" i="12"/>
  <c r="AY46" i="12" s="1"/>
  <c r="AC46" i="12"/>
  <c r="AU46" i="12"/>
  <c r="AX46" i="12" s="1"/>
  <c r="Y46" i="12"/>
  <c r="Z45" i="12"/>
  <c r="AC45" i="12"/>
  <c r="AU45" i="12"/>
  <c r="AX45" i="12" s="1"/>
  <c r="AV45" i="12"/>
  <c r="AY45" i="12" s="1"/>
  <c r="Y45" i="12"/>
  <c r="Z44" i="12"/>
  <c r="AV44" i="12"/>
  <c r="AY44" i="12" s="1"/>
  <c r="AC44" i="12"/>
  <c r="AU44" i="12"/>
  <c r="AX44" i="12" s="1"/>
  <c r="Y44" i="12"/>
  <c r="BP55" i="12"/>
  <c r="AC42" i="12"/>
  <c r="Z42" i="12"/>
  <c r="AV42" i="12"/>
  <c r="AY42" i="12" s="1"/>
  <c r="BO54" i="12" s="1"/>
  <c r="Y42" i="12"/>
  <c r="AC40" i="12"/>
  <c r="Y40" i="12"/>
  <c r="Z40" i="12"/>
  <c r="AV40" i="12"/>
  <c r="AY40" i="12" s="1"/>
  <c r="AU40" i="12"/>
  <c r="AX40" i="12" s="1"/>
  <c r="AC58" i="12"/>
  <c r="AU61" i="12"/>
  <c r="AX61" i="12" s="1"/>
  <c r="Z61" i="12"/>
  <c r="AV61" i="12"/>
  <c r="AY61" i="12" s="1"/>
  <c r="AA61" i="12"/>
  <c r="AD61" i="12"/>
  <c r="AH61" i="12" s="1"/>
  <c r="AD11" i="12"/>
  <c r="AH11" i="12" s="1"/>
  <c r="AA11" i="12"/>
  <c r="Z49" i="12"/>
  <c r="O82" i="12"/>
  <c r="C82" i="12"/>
  <c r="AV80" i="12"/>
  <c r="AY80" i="12" s="1"/>
  <c r="Z80" i="12"/>
  <c r="AC79" i="12"/>
  <c r="O79" i="12"/>
  <c r="C79" i="12"/>
  <c r="AD76" i="12"/>
  <c r="AH76" i="12" s="1"/>
  <c r="AA54" i="12"/>
  <c r="AD54" i="12"/>
  <c r="AH54" i="12" s="1"/>
  <c r="AU72" i="12"/>
  <c r="AX72" i="12" s="1"/>
  <c r="AA28" i="12"/>
  <c r="AD28" i="12"/>
  <c r="AH28" i="12" s="1"/>
  <c r="Y71" i="12"/>
  <c r="AU71" i="12"/>
  <c r="AX71" i="12" s="1"/>
  <c r="Z71" i="12"/>
  <c r="AV71" i="12"/>
  <c r="AY71" i="12" s="1"/>
  <c r="Y52" i="12"/>
  <c r="Z52" i="12"/>
  <c r="AU52" i="12"/>
  <c r="AX52" i="12" s="1"/>
  <c r="AC52" i="12"/>
  <c r="AV52" i="12"/>
  <c r="AY52" i="12" s="1"/>
  <c r="AD70" i="12"/>
  <c r="AH70" i="12" s="1"/>
  <c r="AC53" i="12"/>
  <c r="B82" i="12"/>
  <c r="AU80" i="12"/>
  <c r="AX80" i="12" s="1"/>
  <c r="B79" i="12"/>
  <c r="E78" i="12"/>
  <c r="AC76" i="12"/>
  <c r="AF74" i="12"/>
  <c r="Y73" i="12"/>
  <c r="AU73" i="12"/>
  <c r="AX73" i="12" s="1"/>
  <c r="AC73" i="12"/>
  <c r="Y54" i="12"/>
  <c r="AU54" i="12"/>
  <c r="AX54" i="12" s="1"/>
  <c r="Z54" i="12"/>
  <c r="AV54" i="12"/>
  <c r="AY54" i="12" s="1"/>
  <c r="AD72" i="12"/>
  <c r="AH72" i="12" s="1"/>
  <c r="AV69" i="12"/>
  <c r="AY69" i="12" s="1"/>
  <c r="AC57" i="12"/>
  <c r="BT43" i="12"/>
  <c r="AU62" i="12"/>
  <c r="AX62" i="12" s="1"/>
  <c r="Z62" i="12"/>
  <c r="AV62" i="12"/>
  <c r="AY62" i="12" s="1"/>
  <c r="AA62" i="12"/>
  <c r="AD62" i="12"/>
  <c r="AH62" i="12" s="1"/>
  <c r="AA12" i="12"/>
  <c r="AD12" i="12"/>
  <c r="AH12" i="12" s="1"/>
  <c r="AV79" i="12"/>
  <c r="AY79" i="12" s="1"/>
  <c r="O78" i="12"/>
  <c r="C78" i="12"/>
  <c r="B77" i="12"/>
  <c r="AC72" i="12"/>
  <c r="AD51" i="12"/>
  <c r="AH51" i="12" s="1"/>
  <c r="AA51" i="12"/>
  <c r="AA24" i="12"/>
  <c r="AD24" i="12"/>
  <c r="AH24" i="12" s="1"/>
  <c r="AA23" i="12"/>
  <c r="AD23" i="12"/>
  <c r="AH23" i="12" s="1"/>
  <c r="AA22" i="12"/>
  <c r="AD22" i="12"/>
  <c r="AH22" i="12" s="1"/>
  <c r="AD71" i="12"/>
  <c r="AH71" i="12" s="1"/>
  <c r="AA21" i="12"/>
  <c r="AD21" i="12"/>
  <c r="AH21" i="12" s="1"/>
  <c r="AA20" i="12"/>
  <c r="AD20" i="12"/>
  <c r="AH20" i="12" s="1"/>
  <c r="AD19" i="12"/>
  <c r="AH19" i="12" s="1"/>
  <c r="AA19" i="12"/>
  <c r="AU68" i="12"/>
  <c r="AX68" i="12" s="1"/>
  <c r="Z68" i="12"/>
  <c r="AV68" i="12"/>
  <c r="AY68" i="12" s="1"/>
  <c r="AA68" i="12"/>
  <c r="AD68" i="12"/>
  <c r="AH68" i="12" s="1"/>
  <c r="AA18" i="12"/>
  <c r="AD18" i="12"/>
  <c r="AH18" i="12" s="1"/>
  <c r="AU67" i="12"/>
  <c r="AX67" i="12" s="1"/>
  <c r="Z67" i="12"/>
  <c r="AV67" i="12"/>
  <c r="AY67" i="12" s="1"/>
  <c r="AA67" i="12"/>
  <c r="AD67" i="12"/>
  <c r="AH67" i="12" s="1"/>
  <c r="AA17" i="12"/>
  <c r="AD17" i="12"/>
  <c r="AH17" i="12" s="1"/>
  <c r="AU66" i="12"/>
  <c r="AX66" i="12" s="1"/>
  <c r="Z66" i="12"/>
  <c r="AV66" i="12"/>
  <c r="AY66" i="12" s="1"/>
  <c r="AA66" i="12"/>
  <c r="AD66" i="12"/>
  <c r="AH66" i="12" s="1"/>
  <c r="AA16" i="12"/>
  <c r="AD16" i="12"/>
  <c r="AH16" i="12" s="1"/>
  <c r="AU65" i="12"/>
  <c r="AX65" i="12" s="1"/>
  <c r="Z65" i="12"/>
  <c r="AV65" i="12"/>
  <c r="AY65" i="12" s="1"/>
  <c r="AA65" i="12"/>
  <c r="AD65" i="12"/>
  <c r="AH65" i="12" s="1"/>
  <c r="AD15" i="12"/>
  <c r="AH15" i="12" s="1"/>
  <c r="AA15" i="12"/>
  <c r="AC56" i="12"/>
  <c r="AC54" i="12"/>
  <c r="Z51" i="12"/>
  <c r="AV74" i="12"/>
  <c r="AY74" i="12" s="1"/>
  <c r="AA29" i="12"/>
  <c r="AD29" i="12"/>
  <c r="AH29" i="12" s="1"/>
  <c r="AV70" i="12"/>
  <c r="AY70" i="12" s="1"/>
  <c r="BS57" i="12" s="1"/>
  <c r="Z70" i="12"/>
  <c r="AA25" i="12"/>
  <c r="AD25" i="12"/>
  <c r="AH25" i="12" s="1"/>
  <c r="AD33" i="12"/>
  <c r="AH33" i="12" s="1"/>
  <c r="AA33" i="12"/>
  <c r="AD7" i="12"/>
  <c r="AH7" i="12" s="1"/>
  <c r="AA7" i="12"/>
  <c r="AD31" i="12"/>
  <c r="AH31" i="12" s="1"/>
  <c r="AA31" i="12"/>
  <c r="Y43" i="12"/>
  <c r="AC33" i="12"/>
  <c r="Y33" i="12"/>
  <c r="AU33" i="12"/>
  <c r="AX33" i="12" s="1"/>
  <c r="Z33" i="12"/>
  <c r="AV33" i="12"/>
  <c r="AY33" i="12" s="1"/>
  <c r="AC7" i="12"/>
  <c r="AU7" i="12"/>
  <c r="AX7" i="12" s="1"/>
  <c r="Y7" i="12"/>
  <c r="AV7" i="12"/>
  <c r="AY7" i="12" s="1"/>
  <c r="Z7" i="12"/>
  <c r="AC31" i="12"/>
  <c r="Y31" i="12"/>
  <c r="AU31" i="12"/>
  <c r="AX31" i="12" s="1"/>
  <c r="Z31" i="12"/>
  <c r="AV31" i="12"/>
  <c r="AY31" i="12" s="1"/>
  <c r="Y28" i="12"/>
  <c r="AU28" i="12"/>
  <c r="AX28" i="12" s="1"/>
  <c r="Z28" i="12"/>
  <c r="AV28" i="12"/>
  <c r="AY28" i="12" s="1"/>
  <c r="AC28" i="12"/>
  <c r="Y24" i="12"/>
  <c r="AU24" i="12"/>
  <c r="AX24" i="12" s="1"/>
  <c r="Z24" i="12"/>
  <c r="AV24" i="12"/>
  <c r="AY24" i="12" s="1"/>
  <c r="AC24" i="12"/>
  <c r="Y23" i="12"/>
  <c r="Z23" i="12"/>
  <c r="AU23" i="12"/>
  <c r="AX23" i="12" s="1"/>
  <c r="AC23" i="12"/>
  <c r="AV23" i="12"/>
  <c r="AY23" i="12" s="1"/>
  <c r="Z22" i="12"/>
  <c r="AU22" i="12"/>
  <c r="AX22" i="12" s="1"/>
  <c r="AC22" i="12"/>
  <c r="AV22" i="12"/>
  <c r="AY22" i="12" s="1"/>
  <c r="Y22" i="12"/>
  <c r="Y21" i="12"/>
  <c r="AU21" i="12"/>
  <c r="AX21" i="12" s="1"/>
  <c r="Z21" i="12"/>
  <c r="AV21" i="12"/>
  <c r="AY21" i="12" s="1"/>
  <c r="AC21" i="12"/>
  <c r="Y20" i="12"/>
  <c r="AU20" i="12"/>
  <c r="AX20" i="12" s="1"/>
  <c r="Z20" i="12"/>
  <c r="AV20" i="12"/>
  <c r="AY20" i="12" s="1"/>
  <c r="AC20" i="12"/>
  <c r="AC19" i="12"/>
  <c r="Y19" i="12"/>
  <c r="AU19" i="12"/>
  <c r="AX19" i="12" s="1"/>
  <c r="Z19" i="12"/>
  <c r="AV19" i="12"/>
  <c r="AY19" i="12" s="1"/>
  <c r="Y18" i="12"/>
  <c r="AV18" i="12"/>
  <c r="AY18" i="12" s="1"/>
  <c r="Z18" i="12"/>
  <c r="AC18" i="12"/>
  <c r="AU18" i="12"/>
  <c r="AX18" i="12" s="1"/>
  <c r="AU17" i="12"/>
  <c r="AX17" i="12" s="1"/>
  <c r="Y17" i="12"/>
  <c r="AV17" i="12"/>
  <c r="AY17" i="12" s="1"/>
  <c r="Z17" i="12"/>
  <c r="AC17" i="12"/>
  <c r="Z16" i="12"/>
  <c r="Y16" i="12"/>
  <c r="AU16" i="12"/>
  <c r="AX16" i="12" s="1"/>
  <c r="AV16" i="12"/>
  <c r="AY16" i="12" s="1"/>
  <c r="AC16" i="12"/>
  <c r="Y15" i="12"/>
  <c r="Z15" i="12"/>
  <c r="AU15" i="12"/>
  <c r="AX15" i="12" s="1"/>
  <c r="AV15" i="12"/>
  <c r="AY15" i="12" s="1"/>
  <c r="AC15" i="12"/>
  <c r="AU14" i="12"/>
  <c r="AX14" i="12" s="1"/>
  <c r="Y14" i="12"/>
  <c r="AV14" i="12"/>
  <c r="AY14" i="12" s="1"/>
  <c r="Z14" i="12"/>
  <c r="AC14" i="12"/>
  <c r="Y13" i="12"/>
  <c r="AU13" i="12"/>
  <c r="AX13" i="12" s="1"/>
  <c r="Z13" i="12"/>
  <c r="AC13" i="12"/>
  <c r="AV13" i="12"/>
  <c r="AY13" i="12" s="1"/>
  <c r="AU12" i="12"/>
  <c r="AX12" i="12" s="1"/>
  <c r="Y12" i="12"/>
  <c r="AV12" i="12"/>
  <c r="AY12" i="12" s="1"/>
  <c r="Z12" i="12"/>
  <c r="AC12" i="12"/>
  <c r="Z11" i="12"/>
  <c r="AC11" i="12"/>
  <c r="AU11" i="12"/>
  <c r="AX11" i="12" s="1"/>
  <c r="Y11" i="12"/>
  <c r="AV11" i="12"/>
  <c r="AY11" i="12" s="1"/>
  <c r="AU10" i="12"/>
  <c r="AX10" i="12" s="1"/>
  <c r="Y10" i="12"/>
  <c r="AV10" i="12"/>
  <c r="AY10" i="12" s="1"/>
  <c r="Z10" i="12"/>
  <c r="AC10" i="12"/>
  <c r="Y9" i="12"/>
  <c r="Z9" i="12"/>
  <c r="AU9" i="12"/>
  <c r="AX9" i="12" s="1"/>
  <c r="AV9" i="12"/>
  <c r="AY9" i="12" s="1"/>
  <c r="AC9" i="12"/>
  <c r="AA80" i="14"/>
  <c r="AA8" i="12"/>
  <c r="AD8" i="12"/>
  <c r="AH8" i="12" s="1"/>
  <c r="AA32" i="12"/>
  <c r="AD32" i="12"/>
  <c r="AH32" i="12" s="1"/>
  <c r="AD6" i="12"/>
  <c r="AH6" i="12" s="1"/>
  <c r="AA6" i="12"/>
  <c r="AU41" i="12"/>
  <c r="AX41" i="12" s="1"/>
  <c r="Y8" i="12"/>
  <c r="Z8" i="12"/>
  <c r="AU8" i="12"/>
  <c r="AX8" i="12" s="1"/>
  <c r="AV8" i="12"/>
  <c r="AY8" i="12" s="1"/>
  <c r="AC8" i="12"/>
  <c r="Y32" i="12"/>
  <c r="AU32" i="12"/>
  <c r="AX32" i="12" s="1"/>
  <c r="Z32" i="12"/>
  <c r="AV32" i="12"/>
  <c r="AY32" i="12" s="1"/>
  <c r="AC32" i="12"/>
  <c r="AU6" i="12"/>
  <c r="AX6" i="12" s="1"/>
  <c r="Y6" i="12"/>
  <c r="AV6" i="12"/>
  <c r="AY6" i="12" s="1"/>
  <c r="Z6" i="12"/>
  <c r="AC6" i="12"/>
  <c r="AA30" i="12"/>
  <c r="AD30" i="12"/>
  <c r="AH30" i="12" s="1"/>
  <c r="AA26" i="12"/>
  <c r="AD26" i="12"/>
  <c r="AH26" i="12" s="1"/>
  <c r="AD42" i="12"/>
  <c r="AH42" i="12" s="1"/>
  <c r="AD41" i="12"/>
  <c r="AH41" i="12" s="1"/>
  <c r="AD40" i="12"/>
  <c r="AH40" i="12" s="1"/>
  <c r="AA40" i="12"/>
  <c r="AA39" i="12"/>
  <c r="AD39" i="12"/>
  <c r="AH39" i="12" s="1"/>
  <c r="AD38" i="12"/>
  <c r="AH38" i="12" s="1"/>
  <c r="AA37" i="12"/>
  <c r="AD37" i="12"/>
  <c r="AH37" i="12" s="1"/>
  <c r="AA36" i="12"/>
  <c r="AD36" i="12"/>
  <c r="AH36" i="12" s="1"/>
  <c r="AD35" i="12"/>
  <c r="AH35" i="12" s="1"/>
  <c r="AA35" i="12"/>
  <c r="AA34" i="12"/>
  <c r="AD34" i="12"/>
  <c r="AH34" i="12" s="1"/>
  <c r="AD45" i="12"/>
  <c r="AH45" i="12" s="1"/>
  <c r="AD43" i="12"/>
  <c r="AH43" i="12" s="1"/>
  <c r="Z30" i="12"/>
  <c r="AV30" i="12"/>
  <c r="AY30" i="12" s="1"/>
  <c r="AC30" i="12"/>
  <c r="Y30" i="12"/>
  <c r="AU30" i="12"/>
  <c r="AX30" i="12" s="1"/>
  <c r="Z26" i="12"/>
  <c r="AV26" i="12"/>
  <c r="AY26" i="12" s="1"/>
  <c r="AC26" i="12"/>
  <c r="Y26" i="12"/>
  <c r="AU26" i="12"/>
  <c r="AX26" i="12" s="1"/>
  <c r="Z43" i="12"/>
  <c r="AV43" i="12"/>
  <c r="AY43" i="12" s="1"/>
  <c r="BO55" i="12" s="1"/>
  <c r="AC43" i="12"/>
  <c r="Z41" i="12"/>
  <c r="AV41" i="12"/>
  <c r="AY41" i="12" s="1"/>
  <c r="AC41" i="12"/>
  <c r="Z39" i="12"/>
  <c r="AV39" i="12"/>
  <c r="AY39" i="12" s="1"/>
  <c r="BO51" i="12" s="1"/>
  <c r="AC39" i="12"/>
  <c r="Y38" i="12"/>
  <c r="AU38" i="12"/>
  <c r="AX38" i="12" s="1"/>
  <c r="Z38" i="12"/>
  <c r="AV38" i="12"/>
  <c r="AY38" i="12" s="1"/>
  <c r="AC38" i="12"/>
  <c r="Z37" i="12"/>
  <c r="AV37" i="12"/>
  <c r="AY37" i="12" s="1"/>
  <c r="AC37" i="12"/>
  <c r="Y37" i="12"/>
  <c r="AU37" i="12"/>
  <c r="AX37" i="12" s="1"/>
  <c r="Y36" i="12"/>
  <c r="Z36" i="12"/>
  <c r="AU36" i="12"/>
  <c r="AX36" i="12" s="1"/>
  <c r="AC36" i="12"/>
  <c r="AV36" i="12"/>
  <c r="AY36" i="12" s="1"/>
  <c r="AC35" i="12"/>
  <c r="AV35" i="12"/>
  <c r="AY35" i="12" s="1"/>
  <c r="Y35" i="12"/>
  <c r="Z35" i="12"/>
  <c r="AU35" i="12"/>
  <c r="AX35" i="12" s="1"/>
  <c r="Z34" i="12"/>
  <c r="AU34" i="12"/>
  <c r="AX34" i="12" s="1"/>
  <c r="AC34" i="12"/>
  <c r="AV34" i="12"/>
  <c r="AY34" i="12" s="1"/>
  <c r="Y34" i="12"/>
  <c r="AD44" i="12"/>
  <c r="AH44" i="12" s="1"/>
  <c r="Y39" i="12"/>
  <c r="BB79" i="14"/>
  <c r="AA72" i="14"/>
  <c r="Z72" i="14"/>
  <c r="AY71" i="14"/>
  <c r="BA71" i="14" s="1"/>
  <c r="Y71" i="14"/>
  <c r="AL14" i="14" s="1"/>
  <c r="AO11" i="14" s="1"/>
  <c r="BC68" i="14"/>
  <c r="BB68" i="14"/>
  <c r="AZ21" i="14"/>
  <c r="AZ40" i="14"/>
  <c r="AZ48" i="14"/>
  <c r="AZ10" i="14"/>
  <c r="AZ31" i="14"/>
  <c r="AA64" i="14"/>
  <c r="Z64" i="14"/>
  <c r="Q73" i="13"/>
  <c r="W55" i="13"/>
  <c r="AY77" i="14"/>
  <c r="BA77" i="14" s="1"/>
  <c r="BB77" i="14" s="1"/>
  <c r="Y77" i="14"/>
  <c r="AM16" i="14" s="1"/>
  <c r="AQ12" i="14" s="1"/>
  <c r="AD81" i="13"/>
  <c r="Q70" i="13"/>
  <c r="Q76" i="13" s="1"/>
  <c r="E57" i="14"/>
  <c r="F57" i="14" s="1"/>
  <c r="G57" i="14" s="1"/>
  <c r="AC81" i="13"/>
  <c r="Z55" i="13"/>
  <c r="X68" i="13"/>
  <c r="Z57" i="13"/>
  <c r="R55" i="13"/>
  <c r="AE91" i="13"/>
  <c r="AF82" i="13"/>
  <c r="X69" i="13"/>
  <c r="W65" i="13"/>
  <c r="Y57" i="13"/>
  <c r="BB73" i="14"/>
  <c r="BC73" i="14"/>
  <c r="AE95" i="13"/>
  <c r="AE82" i="13"/>
  <c r="X71" i="13"/>
  <c r="BC77" i="14"/>
  <c r="Z73" i="14"/>
  <c r="AA73" i="14"/>
  <c r="X75" i="14"/>
  <c r="X81" i="14"/>
  <c r="X82" i="14"/>
  <c r="AD30" i="13"/>
  <c r="AC79" i="13"/>
  <c r="Z76" i="14"/>
  <c r="AA60" i="14"/>
  <c r="BB71" i="14"/>
  <c r="X14" i="14"/>
  <c r="X44" i="14"/>
  <c r="X52" i="14"/>
  <c r="X59" i="14"/>
  <c r="X35" i="14"/>
  <c r="X25" i="14"/>
  <c r="X79" i="14"/>
  <c r="X74" i="14"/>
  <c r="X78" i="14"/>
  <c r="X65" i="14"/>
  <c r="X70" i="14"/>
  <c r="BB69" i="14"/>
  <c r="BC69" i="14"/>
  <c r="BB70" i="14"/>
  <c r="Z40" i="14"/>
  <c r="AA40" i="14"/>
  <c r="Z39" i="14"/>
  <c r="AA39" i="14"/>
  <c r="Z6" i="14"/>
  <c r="AA6" i="14"/>
  <c r="AA83" i="14"/>
  <c r="BC80" i="14"/>
  <c r="AZ27" i="14"/>
  <c r="AZ16" i="14"/>
  <c r="AZ46" i="14"/>
  <c r="AZ54" i="14"/>
  <c r="X12" i="14"/>
  <c r="X23" i="14"/>
  <c r="X33" i="14"/>
  <c r="X57" i="14"/>
  <c r="X42" i="14"/>
  <c r="X50" i="14"/>
  <c r="AZ66" i="14"/>
  <c r="AZ8" i="14"/>
  <c r="AZ19" i="14"/>
  <c r="AZ29" i="14"/>
  <c r="X63" i="14"/>
  <c r="AZ61" i="14"/>
  <c r="Y60" i="14"/>
  <c r="AJ14" i="14" s="1"/>
  <c r="AO9" i="14" s="1"/>
  <c r="AZ52" i="14"/>
  <c r="AZ45" i="14"/>
  <c r="AG4" i="14"/>
  <c r="F35" i="14"/>
  <c r="O26" i="14" s="1"/>
  <c r="E35" i="14"/>
  <c r="O25" i="14" s="1"/>
  <c r="I14" i="13"/>
  <c r="AZ82" i="14"/>
  <c r="Y80" i="14"/>
  <c r="AN16" i="14" s="1"/>
  <c r="AQ13" i="14" s="1"/>
  <c r="AY79" i="14"/>
  <c r="BA79" i="14" s="1"/>
  <c r="X77" i="14"/>
  <c r="AZ75" i="14"/>
  <c r="AZ28" i="14"/>
  <c r="AZ17" i="14"/>
  <c r="AZ55" i="14"/>
  <c r="AZ38" i="14"/>
  <c r="AZ47" i="14"/>
  <c r="X24" i="14"/>
  <c r="X13" i="14"/>
  <c r="X43" i="14"/>
  <c r="X51" i="14"/>
  <c r="X71" i="14"/>
  <c r="AZ67" i="14"/>
  <c r="AZ9" i="14"/>
  <c r="AZ20" i="14"/>
  <c r="AZ30" i="14"/>
  <c r="AZ39" i="14"/>
  <c r="AY61" i="14"/>
  <c r="BA61" i="14" s="1"/>
  <c r="AE56" i="14"/>
  <c r="AE57" i="14" s="1"/>
  <c r="Y44" i="14"/>
  <c r="AH13" i="14" s="1"/>
  <c r="AN7" i="14" s="1"/>
  <c r="AY44" i="14"/>
  <c r="BA44" i="14" s="1"/>
  <c r="AY37" i="14"/>
  <c r="BA37" i="14" s="1"/>
  <c r="Y37" i="14"/>
  <c r="AG15" i="14" s="1"/>
  <c r="AP6" i="14" s="1"/>
  <c r="AA76" i="14"/>
  <c r="X15" i="14"/>
  <c r="X36" i="14"/>
  <c r="X45" i="14"/>
  <c r="X53" i="14"/>
  <c r="X26" i="14"/>
  <c r="AZ41" i="14"/>
  <c r="AZ49" i="14"/>
  <c r="AZ22" i="14"/>
  <c r="AZ11" i="14"/>
  <c r="AZ32" i="14"/>
  <c r="X7" i="14"/>
  <c r="X18" i="14"/>
  <c r="AZ60" i="14"/>
  <c r="AZ56" i="14"/>
  <c r="Y52" i="14"/>
  <c r="AI13" i="14" s="1"/>
  <c r="AN8" i="14" s="1"/>
  <c r="AY52" i="14"/>
  <c r="BA52" i="14" s="1"/>
  <c r="AH4" i="14"/>
  <c r="AH18" i="14" s="1"/>
  <c r="D29" i="14"/>
  <c r="I24" i="14" s="1"/>
  <c r="D28" i="14"/>
  <c r="H24" i="14" s="1"/>
  <c r="BC76" i="14"/>
  <c r="X27" i="14"/>
  <c r="X16" i="14"/>
  <c r="X46" i="14"/>
  <c r="X54" i="14"/>
  <c r="X61" i="14"/>
  <c r="X37" i="14"/>
  <c r="AZ23" i="14"/>
  <c r="AZ12" i="14"/>
  <c r="AZ42" i="14"/>
  <c r="AZ50" i="14"/>
  <c r="AZ57" i="14"/>
  <c r="AY69" i="14"/>
  <c r="BA69" i="14" s="1"/>
  <c r="X8" i="14"/>
  <c r="X29" i="14"/>
  <c r="X19" i="14"/>
  <c r="X66" i="14"/>
  <c r="AY55" i="14"/>
  <c r="BA55" i="14" s="1"/>
  <c r="AY45" i="14"/>
  <c r="BA45" i="14" s="1"/>
  <c r="Y45" i="14"/>
  <c r="AH14" i="14" s="1"/>
  <c r="AO7" i="14" s="1"/>
  <c r="AS7" i="14" s="1"/>
  <c r="AZ36" i="14"/>
  <c r="Y33" i="14"/>
  <c r="AG11" i="14" s="1"/>
  <c r="AL6" i="14" s="1"/>
  <c r="AS6" i="14" s="1"/>
  <c r="AY33" i="14"/>
  <c r="BA33" i="14" s="1"/>
  <c r="Y31" i="14"/>
  <c r="AG9" i="14" s="1"/>
  <c r="AJ6" i="14" s="1"/>
  <c r="AY31" i="14"/>
  <c r="BA31" i="14" s="1"/>
  <c r="BC79" i="14"/>
  <c r="X17" i="14"/>
  <c r="X55" i="14"/>
  <c r="X62" i="14"/>
  <c r="X38" i="14"/>
  <c r="X28" i="14"/>
  <c r="BC74" i="14"/>
  <c r="AZ13" i="14"/>
  <c r="AZ24" i="14"/>
  <c r="AZ43" i="14"/>
  <c r="AZ51" i="14"/>
  <c r="AZ34" i="14"/>
  <c r="AZ58" i="14"/>
  <c r="X20" i="14"/>
  <c r="X9" i="14"/>
  <c r="X30" i="14"/>
  <c r="X67" i="14"/>
  <c r="AZ63" i="14"/>
  <c r="AZ62" i="14"/>
  <c r="X58" i="14"/>
  <c r="AZ33" i="14"/>
  <c r="AZ72" i="14"/>
  <c r="AZ14" i="14"/>
  <c r="AZ59" i="14"/>
  <c r="AZ35" i="14"/>
  <c r="AZ25" i="14"/>
  <c r="X10" i="14"/>
  <c r="X31" i="14"/>
  <c r="X21" i="14"/>
  <c r="X68" i="14"/>
  <c r="AZ64" i="14"/>
  <c r="BC6" i="14"/>
  <c r="AY53" i="14"/>
  <c r="BA53" i="14" s="1"/>
  <c r="BB53" i="14" s="1"/>
  <c r="Y53" i="14"/>
  <c r="AI14" i="14" s="1"/>
  <c r="AO8" i="14" s="1"/>
  <c r="X47" i="14"/>
  <c r="AZ44" i="14"/>
  <c r="AZ37" i="14"/>
  <c r="X34" i="14"/>
  <c r="AL4" i="14"/>
  <c r="J31" i="14"/>
  <c r="K30" i="14" s="1"/>
  <c r="J32" i="14"/>
  <c r="L30" i="14" s="1"/>
  <c r="AZ15" i="14"/>
  <c r="AZ26" i="14"/>
  <c r="X11" i="14"/>
  <c r="X32" i="14"/>
  <c r="X41" i="14"/>
  <c r="X49" i="14"/>
  <c r="X56" i="14"/>
  <c r="X22" i="14"/>
  <c r="X69" i="14"/>
  <c r="AZ65" i="14"/>
  <c r="AZ7" i="14"/>
  <c r="AZ18" i="14"/>
  <c r="AF56" i="14"/>
  <c r="AN56" i="14"/>
  <c r="AG56" i="14"/>
  <c r="AO56" i="14"/>
  <c r="AH56" i="14"/>
  <c r="AP56" i="14"/>
  <c r="AI56" i="14"/>
  <c r="AQ56" i="14"/>
  <c r="AL56" i="14"/>
  <c r="X48" i="14"/>
  <c r="Y36" i="14"/>
  <c r="AG14" i="14" s="1"/>
  <c r="AO6" i="14" s="1"/>
  <c r="AY36" i="14"/>
  <c r="BA36" i="14" s="1"/>
  <c r="M56" i="14"/>
  <c r="E56" i="14"/>
  <c r="AY28" i="14"/>
  <c r="BA28" i="14" s="1"/>
  <c r="AS12" i="14"/>
  <c r="AM4" i="14"/>
  <c r="AM18" i="14" s="1"/>
  <c r="AY22" i="14"/>
  <c r="BA22" i="14" s="1"/>
  <c r="Y22" i="14"/>
  <c r="AF10" i="14" s="1"/>
  <c r="AK5" i="14" s="1"/>
  <c r="AS5" i="14" s="1"/>
  <c r="AP4" i="14"/>
  <c r="AY13" i="14"/>
  <c r="BA13" i="14" s="1"/>
  <c r="J56" i="14"/>
  <c r="Y54" i="14"/>
  <c r="AI15" i="14" s="1"/>
  <c r="AP8" i="14" s="1"/>
  <c r="Y46" i="14"/>
  <c r="AH15" i="14" s="1"/>
  <c r="AP7" i="14" s="1"/>
  <c r="Y38" i="14"/>
  <c r="AG16" i="14" s="1"/>
  <c r="AQ6" i="14" s="1"/>
  <c r="Y25" i="14"/>
  <c r="AF13" i="14" s="1"/>
  <c r="AN5" i="14" s="1"/>
  <c r="AY25" i="14"/>
  <c r="BA25" i="14" s="1"/>
  <c r="AY24" i="14"/>
  <c r="BA24" i="14" s="1"/>
  <c r="AQ4" i="14"/>
  <c r="AN4" i="14"/>
  <c r="AI4" i="14"/>
  <c r="AS8" i="14"/>
  <c r="I56" i="14"/>
  <c r="AO4" i="14"/>
  <c r="AK4" i="14"/>
  <c r="AE18" i="14"/>
  <c r="AF4" i="14"/>
  <c r="N18" i="14"/>
  <c r="H56" i="14"/>
  <c r="AJ4" i="14"/>
  <c r="O56" i="14"/>
  <c r="K31" i="14"/>
  <c r="H29" i="14"/>
  <c r="I28" i="14" s="1"/>
  <c r="C19" i="14"/>
  <c r="F31" i="14" s="1"/>
  <c r="K26" i="14" s="1"/>
  <c r="Q10" i="14"/>
  <c r="F29" i="14" s="1"/>
  <c r="I26" i="14" s="1"/>
  <c r="Q4" i="14"/>
  <c r="AY6" i="14"/>
  <c r="BA6" i="14" s="1"/>
  <c r="BB6" i="14" s="1"/>
  <c r="AY8" i="14"/>
  <c r="BA8" i="14" s="1"/>
  <c r="AG34" i="14" l="1"/>
  <c r="AP25" i="14" s="1"/>
  <c r="AG31" i="14"/>
  <c r="AM25" i="14" s="1"/>
  <c r="X82" i="11"/>
  <c r="W84" i="11"/>
  <c r="V79" i="11"/>
  <c r="V86" i="11"/>
  <c r="V82" i="11"/>
  <c r="X86" i="11"/>
  <c r="V78" i="11"/>
  <c r="X78" i="11"/>
  <c r="X79" i="11"/>
  <c r="W82" i="11"/>
  <c r="W85" i="11"/>
  <c r="W86" i="11"/>
  <c r="V81" i="11"/>
  <c r="W81" i="11"/>
  <c r="J109" i="4"/>
  <c r="K110" i="4"/>
  <c r="J108" i="4"/>
  <c r="K109" i="4"/>
  <c r="I108" i="4"/>
  <c r="J110" i="4"/>
  <c r="K108" i="4"/>
  <c r="I109" i="4"/>
  <c r="I110" i="4"/>
  <c r="AH31" i="14"/>
  <c r="AM26" i="14" s="1"/>
  <c r="X137" i="11"/>
  <c r="X136" i="11"/>
  <c r="X140" i="11"/>
  <c r="X144" i="11"/>
  <c r="P65" i="11"/>
  <c r="O64" i="11"/>
  <c r="Q65" i="11"/>
  <c r="O67" i="11"/>
  <c r="R65" i="11"/>
  <c r="P67" i="11"/>
  <c r="P64" i="11"/>
  <c r="Q67" i="11"/>
  <c r="Q64" i="11"/>
  <c r="O66" i="11"/>
  <c r="R67" i="11"/>
  <c r="Q66" i="11"/>
  <c r="O65" i="11"/>
  <c r="R64" i="11"/>
  <c r="P66" i="11"/>
  <c r="R66" i="11"/>
  <c r="AF28" i="14"/>
  <c r="AJ24" i="14" s="1"/>
  <c r="AF27" i="14"/>
  <c r="AI24" i="14" s="1"/>
  <c r="AF32" i="14"/>
  <c r="AN24" i="14" s="1"/>
  <c r="H46" i="3"/>
  <c r="AS4" i="14"/>
  <c r="AF18" i="14"/>
  <c r="AE19" i="14"/>
  <c r="AG25" i="14" s="1"/>
  <c r="AA56" i="14"/>
  <c r="Z56" i="14"/>
  <c r="Z82" i="14"/>
  <c r="AA82" i="14"/>
  <c r="BO67" i="12"/>
  <c r="BP67" i="12"/>
  <c r="H39" i="3"/>
  <c r="H30" i="14"/>
  <c r="J28" i="14" s="1"/>
  <c r="AI18" i="14"/>
  <c r="Z48" i="14"/>
  <c r="AA48" i="14"/>
  <c r="Z49" i="14"/>
  <c r="AA49" i="14"/>
  <c r="J33" i="14"/>
  <c r="M30" i="14" s="1"/>
  <c r="Z47" i="14"/>
  <c r="AA47" i="14"/>
  <c r="Z31" i="14"/>
  <c r="AA31" i="14"/>
  <c r="Z58" i="14"/>
  <c r="AA58" i="14"/>
  <c r="BB34" i="14"/>
  <c r="BC34" i="14"/>
  <c r="Z62" i="14"/>
  <c r="AA62" i="14"/>
  <c r="BB36" i="14"/>
  <c r="BC36" i="14"/>
  <c r="AA54" i="14"/>
  <c r="Z54" i="14"/>
  <c r="D33" i="14"/>
  <c r="M24" i="14" s="1"/>
  <c r="G32" i="14"/>
  <c r="L27" i="14" s="1"/>
  <c r="BB49" i="14"/>
  <c r="BC49" i="14"/>
  <c r="BB30" i="14"/>
  <c r="BC30" i="14"/>
  <c r="Z24" i="14"/>
  <c r="AA24" i="14"/>
  <c r="E29" i="14"/>
  <c r="I25" i="14" s="1"/>
  <c r="BB45" i="14"/>
  <c r="BC45" i="14"/>
  <c r="BB66" i="14"/>
  <c r="BC66" i="14"/>
  <c r="BB46" i="14"/>
  <c r="BC46" i="14"/>
  <c r="AA78" i="14"/>
  <c r="Z78" i="14"/>
  <c r="AA14" i="14"/>
  <c r="Z14" i="14"/>
  <c r="Z81" i="14"/>
  <c r="AA81" i="14"/>
  <c r="BB48" i="14"/>
  <c r="BC48" i="14"/>
  <c r="BO48" i="12"/>
  <c r="BP48" i="12"/>
  <c r="AF38" i="12"/>
  <c r="AG38" i="12"/>
  <c r="AF41" i="12"/>
  <c r="AG41" i="12"/>
  <c r="AF26" i="12"/>
  <c r="AG26" i="12"/>
  <c r="BI8" i="12"/>
  <c r="BI15" i="12" s="1"/>
  <c r="AF8" i="12"/>
  <c r="AG8" i="12"/>
  <c r="BK46" i="12"/>
  <c r="BL46" i="12"/>
  <c r="BK57" i="12"/>
  <c r="BL57" i="12"/>
  <c r="BS53" i="12"/>
  <c r="BT53" i="12"/>
  <c r="BO64" i="12"/>
  <c r="BP64" i="12"/>
  <c r="BO57" i="12"/>
  <c r="BP57" i="12"/>
  <c r="AF48" i="12"/>
  <c r="AG48" i="12"/>
  <c r="BT44" i="12"/>
  <c r="BS44" i="12"/>
  <c r="BS51" i="12"/>
  <c r="BT51" i="12"/>
  <c r="BS47" i="12"/>
  <c r="BT47" i="12"/>
  <c r="AG59" i="12"/>
  <c r="AF59" i="12"/>
  <c r="AG67" i="12"/>
  <c r="AF67" i="12"/>
  <c r="AF29" i="12"/>
  <c r="AG29" i="12"/>
  <c r="BK64" i="12"/>
  <c r="BL64" i="12"/>
  <c r="AF77" i="12"/>
  <c r="AG77" i="12"/>
  <c r="AA9" i="12"/>
  <c r="AD9" i="12"/>
  <c r="AH9" i="12" s="1"/>
  <c r="BK62" i="12"/>
  <c r="BL62" i="12"/>
  <c r="AG55" i="12"/>
  <c r="Z112" i="11"/>
  <c r="X139" i="11"/>
  <c r="X81" i="11"/>
  <c r="X145" i="11"/>
  <c r="X87" i="11"/>
  <c r="X142" i="11"/>
  <c r="X84" i="11"/>
  <c r="X123" i="11"/>
  <c r="AP11" i="11"/>
  <c r="BP54" i="11"/>
  <c r="AA67" i="11"/>
  <c r="C64" i="11" a="1"/>
  <c r="E97" i="10"/>
  <c r="D62" i="7"/>
  <c r="D66" i="7"/>
  <c r="C65" i="10"/>
  <c r="C63" i="10"/>
  <c r="C61" i="10"/>
  <c r="C76" i="10"/>
  <c r="F76" i="10" s="1"/>
  <c r="K126" i="10"/>
  <c r="L123" i="10"/>
  <c r="AZ56" i="8"/>
  <c r="U24" i="8"/>
  <c r="G37" i="3"/>
  <c r="G29" i="5"/>
  <c r="G47" i="3"/>
  <c r="BB33" i="14"/>
  <c r="BC33" i="14"/>
  <c r="Z13" i="14"/>
  <c r="AA13" i="14"/>
  <c r="AF79" i="13"/>
  <c r="AE93" i="13"/>
  <c r="AF31" i="12"/>
  <c r="AG31" i="12"/>
  <c r="BP32" i="11"/>
  <c r="AB130" i="11"/>
  <c r="AS13" i="14"/>
  <c r="AH32" i="14" s="1"/>
  <c r="AN26" i="14" s="1"/>
  <c r="Z41" i="14"/>
  <c r="AA41" i="14"/>
  <c r="J30" i="14"/>
  <c r="Z10" i="14"/>
  <c r="AA10" i="14"/>
  <c r="BB62" i="14"/>
  <c r="BC62" i="14"/>
  <c r="BC51" i="14"/>
  <c r="BB51" i="14"/>
  <c r="Z55" i="14"/>
  <c r="AA55" i="14"/>
  <c r="BB57" i="14"/>
  <c r="BC57" i="14"/>
  <c r="AA46" i="14"/>
  <c r="Z46" i="14"/>
  <c r="D34" i="14"/>
  <c r="N24" i="14" s="1"/>
  <c r="G33" i="14"/>
  <c r="M27" i="14" s="1"/>
  <c r="H34" i="14"/>
  <c r="N28" i="14" s="1"/>
  <c r="BB56" i="14"/>
  <c r="BC56" i="14"/>
  <c r="BB41" i="14"/>
  <c r="BC41" i="14"/>
  <c r="BB20" i="14"/>
  <c r="BC20" i="14"/>
  <c r="BB47" i="14"/>
  <c r="BC47" i="14"/>
  <c r="E25" i="14"/>
  <c r="F30" i="14"/>
  <c r="J26" i="14" s="1"/>
  <c r="BB52" i="14"/>
  <c r="BC52" i="14"/>
  <c r="Z50" i="14"/>
  <c r="AA50" i="14"/>
  <c r="BC16" i="14"/>
  <c r="BB16" i="14"/>
  <c r="AA74" i="14"/>
  <c r="Z74" i="14"/>
  <c r="Z75" i="14"/>
  <c r="AA75" i="14"/>
  <c r="BB40" i="14"/>
  <c r="BC40" i="14"/>
  <c r="BO47" i="12"/>
  <c r="BP47" i="12"/>
  <c r="Y82" i="12"/>
  <c r="Y83" i="12" s="1"/>
  <c r="AK8" i="12" s="1"/>
  <c r="BK49" i="12"/>
  <c r="BL49" i="12"/>
  <c r="AF16" i="12"/>
  <c r="AG16" i="12"/>
  <c r="AF22" i="12"/>
  <c r="AG22" i="12"/>
  <c r="AF24" i="12"/>
  <c r="AG24" i="12"/>
  <c r="BK65" i="12"/>
  <c r="BL65" i="12"/>
  <c r="AF33" i="12"/>
  <c r="AG33" i="12"/>
  <c r="AG54" i="12"/>
  <c r="AF54" i="12"/>
  <c r="BS52" i="12"/>
  <c r="BT52" i="12"/>
  <c r="BS49" i="12"/>
  <c r="BT49" i="12"/>
  <c r="BO66" i="12"/>
  <c r="BP66" i="12"/>
  <c r="BS59" i="12"/>
  <c r="BT59" i="12"/>
  <c r="AF45" i="12"/>
  <c r="AG45" i="12"/>
  <c r="AF71" i="12"/>
  <c r="AG71" i="12"/>
  <c r="AG60" i="12"/>
  <c r="AF60" i="12"/>
  <c r="AG68" i="12"/>
  <c r="AF68" i="12"/>
  <c r="BT65" i="12"/>
  <c r="V85" i="11"/>
  <c r="V22" i="11"/>
  <c r="Z108" i="11" s="1"/>
  <c r="V23" i="11"/>
  <c r="V50" i="11" s="1"/>
  <c r="AJ104" i="12"/>
  <c r="AI22" i="11"/>
  <c r="X64" i="11"/>
  <c r="AB122" i="11"/>
  <c r="BC17" i="11"/>
  <c r="BC14" i="11"/>
  <c r="AE58" i="11"/>
  <c r="BP33" i="11"/>
  <c r="U52" i="10" a="1"/>
  <c r="H124" i="10"/>
  <c r="H123" i="10"/>
  <c r="H122" i="10"/>
  <c r="P101" i="10"/>
  <c r="H127" i="10"/>
  <c r="H126" i="10"/>
  <c r="H125" i="10"/>
  <c r="D96" i="10"/>
  <c r="C42" i="7"/>
  <c r="C50" i="7"/>
  <c r="C54" i="7"/>
  <c r="C58" i="7"/>
  <c r="C41" i="7"/>
  <c r="C45" i="7"/>
  <c r="C49" i="7"/>
  <c r="C53" i="7"/>
  <c r="C40" i="7"/>
  <c r="C44" i="7"/>
  <c r="C48" i="7"/>
  <c r="C52" i="7"/>
  <c r="C56" i="7"/>
  <c r="C59" i="7"/>
  <c r="C43" i="7"/>
  <c r="C47" i="7"/>
  <c r="C51" i="7"/>
  <c r="C55" i="7"/>
  <c r="C57" i="7"/>
  <c r="L124" i="10"/>
  <c r="E94" i="10"/>
  <c r="AB31" i="8"/>
  <c r="BG63" i="8"/>
  <c r="E62" i="3"/>
  <c r="F67" i="3"/>
  <c r="E71" i="3"/>
  <c r="F76" i="3"/>
  <c r="F71" i="3"/>
  <c r="E75" i="3"/>
  <c r="F62" i="3"/>
  <c r="E66" i="3"/>
  <c r="E61" i="3"/>
  <c r="F66" i="3"/>
  <c r="E70" i="3"/>
  <c r="F75" i="3"/>
  <c r="F72" i="3"/>
  <c r="E60" i="3"/>
  <c r="F61" i="3"/>
  <c r="E65" i="3"/>
  <c r="F70" i="3"/>
  <c r="E74" i="3"/>
  <c r="F60" i="3"/>
  <c r="E64" i="3"/>
  <c r="F65" i="3"/>
  <c r="E69" i="3"/>
  <c r="F74" i="3"/>
  <c r="F64" i="3"/>
  <c r="G64" i="3" s="1"/>
  <c r="E68" i="3"/>
  <c r="F69" i="3"/>
  <c r="E73" i="3"/>
  <c r="E77" i="3"/>
  <c r="F63" i="3"/>
  <c r="E76" i="3"/>
  <c r="E63" i="3"/>
  <c r="F68" i="3"/>
  <c r="G68" i="3" s="1"/>
  <c r="E72" i="3"/>
  <c r="F73" i="3"/>
  <c r="F77" i="3"/>
  <c r="E67" i="3"/>
  <c r="G43" i="3"/>
  <c r="G50" i="3"/>
  <c r="G38" i="3"/>
  <c r="G40" i="3"/>
  <c r="BB58" i="14"/>
  <c r="BC58" i="14"/>
  <c r="BB8" i="14"/>
  <c r="BC8" i="14"/>
  <c r="BS54" i="12"/>
  <c r="BT54" i="12"/>
  <c r="BS50" i="12"/>
  <c r="BT50" i="12"/>
  <c r="AH113" i="11"/>
  <c r="Z55" i="11"/>
  <c r="V113" i="11"/>
  <c r="Z128" i="11"/>
  <c r="BB18" i="14"/>
  <c r="BC18" i="14"/>
  <c r="AA17" i="14"/>
  <c r="Z17" i="14"/>
  <c r="N34" i="14"/>
  <c r="BB82" i="14"/>
  <c r="BC82" i="14"/>
  <c r="BB27" i="14"/>
  <c r="BC27" i="14"/>
  <c r="BK54" i="12"/>
  <c r="BL54" i="12"/>
  <c r="AF56" i="12"/>
  <c r="BS67" i="12"/>
  <c r="BT67" i="12"/>
  <c r="AF40" i="12"/>
  <c r="AG40" i="12"/>
  <c r="BO56" i="12"/>
  <c r="BP56" i="12"/>
  <c r="BO59" i="12"/>
  <c r="BP59" i="12"/>
  <c r="AF49" i="12"/>
  <c r="AG49" i="12"/>
  <c r="AF69" i="12"/>
  <c r="AG69" i="12"/>
  <c r="Y75" i="12"/>
  <c r="AU75" i="12"/>
  <c r="AX75" i="12" s="1"/>
  <c r="AC75" i="12"/>
  <c r="AV75" i="12"/>
  <c r="AY75" i="12" s="1"/>
  <c r="Z75" i="12"/>
  <c r="AG61" i="12"/>
  <c r="AF61" i="12"/>
  <c r="AF27" i="12"/>
  <c r="AG27" i="12"/>
  <c r="AU59" i="12"/>
  <c r="AX59" i="12" s="1"/>
  <c r="Z59" i="12"/>
  <c r="AV59" i="12"/>
  <c r="AY59" i="12" s="1"/>
  <c r="BI10" i="12" s="1"/>
  <c r="BI17" i="12" s="1"/>
  <c r="AA59" i="12"/>
  <c r="AD59" i="12"/>
  <c r="AH59" i="12" s="1"/>
  <c r="AM99" i="12"/>
  <c r="AM115" i="12" s="1"/>
  <c r="AJ97" i="12"/>
  <c r="AK97" i="12"/>
  <c r="AJ98" i="12"/>
  <c r="AK98" i="12"/>
  <c r="AL98" i="12"/>
  <c r="AJ99" i="12"/>
  <c r="AK99" i="12"/>
  <c r="AJ96" i="12"/>
  <c r="AJ112" i="12" s="1"/>
  <c r="AL99" i="12"/>
  <c r="V57" i="11"/>
  <c r="Z115" i="11"/>
  <c r="AH115" i="11"/>
  <c r="V115" i="11"/>
  <c r="W83" i="11"/>
  <c r="X85" i="11"/>
  <c r="X143" i="11"/>
  <c r="AB54" i="11"/>
  <c r="AF54" i="11"/>
  <c r="AB112" i="11"/>
  <c r="BC19" i="11"/>
  <c r="BX18" i="11"/>
  <c r="CC18" i="11" s="1"/>
  <c r="AE114" i="11"/>
  <c r="AA56" i="11"/>
  <c r="AE56" i="11"/>
  <c r="Z64" i="11"/>
  <c r="AD122" i="11"/>
  <c r="W22" i="11"/>
  <c r="AD123" i="11" s="1"/>
  <c r="V64" i="11"/>
  <c r="W23" i="11"/>
  <c r="AA65" i="11" s="1"/>
  <c r="V122" i="11"/>
  <c r="AB67" i="11"/>
  <c r="X125" i="11"/>
  <c r="X67" i="11"/>
  <c r="AB125" i="11"/>
  <c r="AJ107" i="12"/>
  <c r="AM104" i="12" s="1"/>
  <c r="AA113" i="11"/>
  <c r="AE55" i="11"/>
  <c r="AE122" i="11"/>
  <c r="AC22" i="11"/>
  <c r="AA123" i="11" s="1"/>
  <c r="BP19" i="11"/>
  <c r="BP15" i="11"/>
  <c r="BP38" i="11"/>
  <c r="AM7" i="7"/>
  <c r="AM8" i="7" s="1"/>
  <c r="AW53" i="8"/>
  <c r="R21" i="8"/>
  <c r="D61" i="7"/>
  <c r="I52" i="3"/>
  <c r="J28" i="4"/>
  <c r="H42" i="4"/>
  <c r="H49" i="4" s="1" a="1"/>
  <c r="I82" i="10" a="1"/>
  <c r="H42" i="3"/>
  <c r="G33" i="3"/>
  <c r="C39" i="2"/>
  <c r="G57" i="3" s="1"/>
  <c r="AI27" i="14"/>
  <c r="AI31" i="14"/>
  <c r="AM27" i="14" s="1"/>
  <c r="AI30" i="14"/>
  <c r="AL27" i="14" s="1"/>
  <c r="AI32" i="14"/>
  <c r="AN27" i="14" s="1"/>
  <c r="BB44" i="14"/>
  <c r="BC44" i="14"/>
  <c r="Z8" i="14"/>
  <c r="AA8" i="14"/>
  <c r="BB22" i="14"/>
  <c r="BC22" i="14"/>
  <c r="Z77" i="14"/>
  <c r="AA77" i="14"/>
  <c r="Z65" i="14"/>
  <c r="AA65" i="14"/>
  <c r="BO46" i="12"/>
  <c r="BP46" i="12"/>
  <c r="AG52" i="12"/>
  <c r="AF52" i="12"/>
  <c r="AF79" i="12"/>
  <c r="BO62" i="12"/>
  <c r="BP62" i="12"/>
  <c r="H57" i="5"/>
  <c r="H62" i="5"/>
  <c r="H64" i="5"/>
  <c r="I70" i="5"/>
  <c r="I74" i="5"/>
  <c r="H70" i="5"/>
  <c r="I57" i="5"/>
  <c r="I62" i="5"/>
  <c r="I64" i="5"/>
  <c r="H67" i="5"/>
  <c r="H71" i="5"/>
  <c r="H75" i="5"/>
  <c r="H56" i="5"/>
  <c r="H59" i="5"/>
  <c r="I67" i="5"/>
  <c r="I71" i="5"/>
  <c r="I75" i="5"/>
  <c r="I59" i="5"/>
  <c r="H68" i="5"/>
  <c r="H72" i="5"/>
  <c r="H74" i="5"/>
  <c r="I56" i="5"/>
  <c r="H60" i="5"/>
  <c r="H63" i="5"/>
  <c r="H65" i="5"/>
  <c r="I68" i="5"/>
  <c r="I72" i="5"/>
  <c r="H58" i="5"/>
  <c r="I60" i="5"/>
  <c r="I63" i="5"/>
  <c r="I65" i="5"/>
  <c r="H69" i="5"/>
  <c r="H73" i="5"/>
  <c r="I61" i="5"/>
  <c r="I66" i="5"/>
  <c r="I58" i="5"/>
  <c r="H61" i="5"/>
  <c r="H66" i="5"/>
  <c r="I69" i="5"/>
  <c r="I73" i="5"/>
  <c r="AN18" i="14"/>
  <c r="BB25" i="14"/>
  <c r="BC25" i="14"/>
  <c r="BC50" i="14"/>
  <c r="BB50" i="14"/>
  <c r="BC60" i="14"/>
  <c r="BB60" i="14"/>
  <c r="BC9" i="14"/>
  <c r="BB9" i="14"/>
  <c r="E26" i="14"/>
  <c r="F25" i="14" s="1"/>
  <c r="BC21" i="14"/>
  <c r="BB21" i="14"/>
  <c r="BL45" i="12"/>
  <c r="BK45" i="12"/>
  <c r="BK59" i="12"/>
  <c r="BL59" i="12"/>
  <c r="AK18" i="14"/>
  <c r="Z11" i="14"/>
  <c r="AA11" i="14"/>
  <c r="BC35" i="14"/>
  <c r="BB35" i="14"/>
  <c r="BC24" i="14"/>
  <c r="BB24" i="14"/>
  <c r="BC42" i="14"/>
  <c r="BB42" i="14"/>
  <c r="AA27" i="14"/>
  <c r="Z27" i="14"/>
  <c r="D35" i="14"/>
  <c r="O24" i="14" s="1"/>
  <c r="G30" i="14"/>
  <c r="J27" i="14" s="1"/>
  <c r="N35" i="14"/>
  <c r="O34" i="14" s="1"/>
  <c r="Z18" i="14"/>
  <c r="AA18" i="14"/>
  <c r="AA53" i="14"/>
  <c r="Z53" i="14"/>
  <c r="BB67" i="14"/>
  <c r="BC67" i="14"/>
  <c r="BB55" i="14"/>
  <c r="BC55" i="14"/>
  <c r="E27" i="14"/>
  <c r="G25" i="14" s="1"/>
  <c r="F27" i="14"/>
  <c r="G26" i="14" s="1"/>
  <c r="BB61" i="14"/>
  <c r="BC61" i="14"/>
  <c r="Z57" i="14"/>
  <c r="AA57" i="14"/>
  <c r="Z25" i="14"/>
  <c r="AA25" i="14"/>
  <c r="Z60" i="14"/>
  <c r="BO49" i="12"/>
  <c r="BP49" i="12"/>
  <c r="BO50" i="12"/>
  <c r="BP50" i="12"/>
  <c r="AF43" i="12"/>
  <c r="AG43" i="12"/>
  <c r="BK67" i="12"/>
  <c r="BL67" i="12"/>
  <c r="AF32" i="12"/>
  <c r="AG32" i="12"/>
  <c r="AF10" i="12"/>
  <c r="AG10" i="12"/>
  <c r="AF11" i="12"/>
  <c r="AG11" i="12"/>
  <c r="AF13" i="12"/>
  <c r="AG13" i="12"/>
  <c r="BK51" i="12"/>
  <c r="BL51" i="12"/>
  <c r="BK53" i="12"/>
  <c r="BL53" i="12"/>
  <c r="BK55" i="12"/>
  <c r="BL55" i="12"/>
  <c r="BI9" i="12"/>
  <c r="BI16" i="12" s="1"/>
  <c r="BL44" i="12"/>
  <c r="BK44" i="12"/>
  <c r="AF73" i="12"/>
  <c r="AG73" i="12"/>
  <c r="BS48" i="12"/>
  <c r="BT48" i="12"/>
  <c r="AF44" i="12"/>
  <c r="AG44" i="12"/>
  <c r="BO61" i="12"/>
  <c r="BP61" i="12"/>
  <c r="BS56" i="12"/>
  <c r="BT56" i="12"/>
  <c r="AG62" i="12"/>
  <c r="AF62" i="12"/>
  <c r="BK66" i="12"/>
  <c r="BL66" i="12"/>
  <c r="AG74" i="12"/>
  <c r="AD98" i="12"/>
  <c r="AD99" i="12"/>
  <c r="AD101" i="12"/>
  <c r="AD107" i="12"/>
  <c r="AD109" i="12"/>
  <c r="AD115" i="12"/>
  <c r="AD117" i="12"/>
  <c r="AD96" i="12"/>
  <c r="AD100" i="12"/>
  <c r="AD104" i="12"/>
  <c r="AD108" i="12"/>
  <c r="AD112" i="12"/>
  <c r="AD116" i="12"/>
  <c r="AD97" i="12"/>
  <c r="AD103" i="12"/>
  <c r="AD105" i="12"/>
  <c r="AD111" i="12"/>
  <c r="AD113" i="12"/>
  <c r="AD119" i="12"/>
  <c r="AD102" i="12"/>
  <c r="AD106" i="12"/>
  <c r="AD110" i="12"/>
  <c r="AD118" i="12"/>
  <c r="AD120" i="12"/>
  <c r="AD114" i="12"/>
  <c r="BP51" i="12"/>
  <c r="AF51" i="12"/>
  <c r="AG51" i="12"/>
  <c r="BC10" i="11"/>
  <c r="AF57" i="11"/>
  <c r="AB57" i="11"/>
  <c r="AB115" i="11"/>
  <c r="X57" i="11"/>
  <c r="X115" i="11"/>
  <c r="AF115" i="11"/>
  <c r="W138" i="11"/>
  <c r="W80" i="11"/>
  <c r="CC10" i="11"/>
  <c r="AB50" i="11"/>
  <c r="AF50" i="11"/>
  <c r="AF108" i="11"/>
  <c r="X108" i="11"/>
  <c r="AB108" i="11"/>
  <c r="AH22" i="11"/>
  <c r="AF113" i="11" s="1"/>
  <c r="X50" i="11"/>
  <c r="CC16" i="11"/>
  <c r="Z141" i="11"/>
  <c r="V83" i="11"/>
  <c r="BX12" i="11"/>
  <c r="CC12" i="11" s="1"/>
  <c r="BC13" i="11"/>
  <c r="BP18" i="11"/>
  <c r="Z68" i="11"/>
  <c r="V126" i="11"/>
  <c r="V68" i="11"/>
  <c r="AD126" i="11"/>
  <c r="AA57" i="11"/>
  <c r="AA115" i="11"/>
  <c r="AE57" i="11"/>
  <c r="W57" i="11"/>
  <c r="W115" i="11"/>
  <c r="AP10" i="11"/>
  <c r="I56" i="11"/>
  <c r="I64" i="11" s="1" a="1"/>
  <c r="X69" i="11"/>
  <c r="AB69" i="11"/>
  <c r="X127" i="11"/>
  <c r="AB127" i="11"/>
  <c r="BP37" i="11"/>
  <c r="BP12" i="11"/>
  <c r="BP35" i="11"/>
  <c r="T52" i="10" a="1"/>
  <c r="C94" i="10"/>
  <c r="C97" i="10"/>
  <c r="F72" i="10"/>
  <c r="C95" i="10"/>
  <c r="C98" i="10"/>
  <c r="C93" i="10"/>
  <c r="C96" i="10"/>
  <c r="E65" i="7"/>
  <c r="E62" i="7"/>
  <c r="E66" i="7"/>
  <c r="E63" i="7"/>
  <c r="E64" i="7" s="1"/>
  <c r="E67" i="7"/>
  <c r="P8" i="8"/>
  <c r="AL73" i="8"/>
  <c r="AX54" i="8"/>
  <c r="S22" i="8"/>
  <c r="D93" i="10"/>
  <c r="L126" i="10"/>
  <c r="I122" i="10"/>
  <c r="E96" i="10"/>
  <c r="AJ71" i="8"/>
  <c r="AJ84" i="8" s="1" a="1"/>
  <c r="N6" i="8"/>
  <c r="L88" i="4"/>
  <c r="I105" i="4"/>
  <c r="F88" i="10"/>
  <c r="I79" i="3"/>
  <c r="G35" i="3"/>
  <c r="G49" i="3"/>
  <c r="G48" i="3"/>
  <c r="E93" i="10"/>
  <c r="Z61" i="14"/>
  <c r="AA61" i="14"/>
  <c r="BB39" i="14"/>
  <c r="BC39" i="14"/>
  <c r="BB54" i="14"/>
  <c r="BC54" i="14"/>
  <c r="BB10" i="14"/>
  <c r="BC10" i="14"/>
  <c r="BK47" i="12"/>
  <c r="BL47" i="12"/>
  <c r="AG76" i="12"/>
  <c r="AF76" i="12"/>
  <c r="AG66" i="12"/>
  <c r="AF66" i="12"/>
  <c r="AF146" i="12"/>
  <c r="AF157" i="12"/>
  <c r="AF160" i="12"/>
  <c r="AF153" i="12"/>
  <c r="AF156" i="12"/>
  <c r="AF169" i="12"/>
  <c r="AF159" i="12"/>
  <c r="AF162" i="12"/>
  <c r="AF149" i="12"/>
  <c r="AF152" i="12"/>
  <c r="AF165" i="12"/>
  <c r="AF168" i="12"/>
  <c r="AF148" i="12"/>
  <c r="AF161" i="12"/>
  <c r="AF164" i="12"/>
  <c r="AF151" i="12"/>
  <c r="AF154" i="12"/>
  <c r="AF167" i="12"/>
  <c r="AF170" i="12"/>
  <c r="AF155" i="12"/>
  <c r="AF166" i="12"/>
  <c r="AF150" i="12"/>
  <c r="AF163" i="12"/>
  <c r="AF147" i="12"/>
  <c r="AF158" i="12"/>
  <c r="V87" i="11"/>
  <c r="V84" i="11"/>
  <c r="Z142" i="11"/>
  <c r="AB22" i="11"/>
  <c r="AI116" i="11" s="1"/>
  <c r="AE50" i="11"/>
  <c r="AA50" i="11"/>
  <c r="AE108" i="11"/>
  <c r="W108" i="11"/>
  <c r="W50" i="11"/>
  <c r="BP10" i="11"/>
  <c r="H13" i="7"/>
  <c r="H15" i="7"/>
  <c r="J13" i="7" s="1"/>
  <c r="I15" i="7"/>
  <c r="J14" i="7" s="1"/>
  <c r="J15" i="7"/>
  <c r="H14" i="7"/>
  <c r="I13" i="7" s="1"/>
  <c r="I14" i="7"/>
  <c r="AS10" i="14"/>
  <c r="AF29" i="14" s="1"/>
  <c r="AK24" i="14" s="1"/>
  <c r="BC43" i="14"/>
  <c r="BB43" i="14"/>
  <c r="D27" i="14"/>
  <c r="G24" i="14" s="1"/>
  <c r="Z26" i="14"/>
  <c r="AA26" i="14"/>
  <c r="BB38" i="14"/>
  <c r="BC38" i="14"/>
  <c r="F26" i="14"/>
  <c r="Z42" i="14"/>
  <c r="AA42" i="14"/>
  <c r="Z79" i="14"/>
  <c r="AA79" i="14"/>
  <c r="BL43" i="12"/>
  <c r="BH8" i="12"/>
  <c r="BK43" i="12"/>
  <c r="BK48" i="12"/>
  <c r="BL48" i="12"/>
  <c r="BK56" i="12"/>
  <c r="BL56" i="12"/>
  <c r="AF21" i="12"/>
  <c r="AG21" i="12"/>
  <c r="C28" i="14"/>
  <c r="H23" i="14" s="1"/>
  <c r="C25" i="14"/>
  <c r="E23" i="14" s="1"/>
  <c r="C24" i="14"/>
  <c r="D23" i="14" s="1"/>
  <c r="C32" i="14"/>
  <c r="L23" i="14" s="1"/>
  <c r="C23" i="14"/>
  <c r="C31" i="14"/>
  <c r="K23" i="14" s="1"/>
  <c r="C27" i="14"/>
  <c r="G23" i="14" s="1"/>
  <c r="C29" i="14"/>
  <c r="I23" i="14" s="1"/>
  <c r="C34" i="14"/>
  <c r="N23" i="14" s="1"/>
  <c r="C33" i="14"/>
  <c r="M23" i="14" s="1"/>
  <c r="C30" i="14"/>
  <c r="J23" i="14" s="1"/>
  <c r="C35" i="14"/>
  <c r="O23" i="14" s="1"/>
  <c r="C26" i="14"/>
  <c r="F23" i="14" s="1"/>
  <c r="AS9" i="14"/>
  <c r="AH28" i="14" s="1"/>
  <c r="AJ26" i="14" s="1"/>
  <c r="AS16" i="14"/>
  <c r="AQ35" i="14" s="1"/>
  <c r="BB7" i="14"/>
  <c r="BC85" i="14" s="1"/>
  <c r="BC7" i="14"/>
  <c r="AL18" i="14"/>
  <c r="Z67" i="14"/>
  <c r="AA67" i="14"/>
  <c r="I30" i="14"/>
  <c r="J29" i="14" s="1"/>
  <c r="I29" i="14"/>
  <c r="I32" i="14"/>
  <c r="L29" i="14" s="1"/>
  <c r="I31" i="14"/>
  <c r="K29" i="14" s="1"/>
  <c r="I35" i="14"/>
  <c r="O29" i="14" s="1"/>
  <c r="I34" i="14"/>
  <c r="N29" i="14" s="1"/>
  <c r="I33" i="14"/>
  <c r="M29" i="14" s="1"/>
  <c r="AJ18" i="14"/>
  <c r="AO18" i="14"/>
  <c r="AQ18" i="14"/>
  <c r="BB65" i="14"/>
  <c r="BC65" i="14"/>
  <c r="BC26" i="14"/>
  <c r="BB26" i="14"/>
  <c r="AS11" i="14"/>
  <c r="BC59" i="14"/>
  <c r="BB59" i="14"/>
  <c r="AA30" i="14"/>
  <c r="Z30" i="14"/>
  <c r="BB13" i="14"/>
  <c r="BC13" i="14"/>
  <c r="AA66" i="14"/>
  <c r="Z66" i="14"/>
  <c r="BC12" i="14"/>
  <c r="BB12" i="14"/>
  <c r="D24" i="14"/>
  <c r="G27" i="14"/>
  <c r="M34" i="14"/>
  <c r="N33" i="14" s="1"/>
  <c r="Z7" i="14"/>
  <c r="AA7" i="14"/>
  <c r="AA45" i="14"/>
  <c r="Z45" i="14"/>
  <c r="Z71" i="14"/>
  <c r="AA71" i="14"/>
  <c r="BC17" i="14"/>
  <c r="BB17" i="14"/>
  <c r="E31" i="14"/>
  <c r="K25" i="14" s="1"/>
  <c r="E30" i="14"/>
  <c r="J25" i="14" s="1"/>
  <c r="F28" i="14"/>
  <c r="H26" i="14" s="1"/>
  <c r="AA63" i="14"/>
  <c r="Z63" i="14"/>
  <c r="Z33" i="14"/>
  <c r="AA33" i="14"/>
  <c r="Z35" i="14"/>
  <c r="AA35" i="14"/>
  <c r="AD88" i="13"/>
  <c r="X76" i="13"/>
  <c r="AE90" i="13"/>
  <c r="AF78" i="13"/>
  <c r="Z80" i="14"/>
  <c r="AF15" i="12"/>
  <c r="AG15" i="12"/>
  <c r="AF18" i="12"/>
  <c r="AG18" i="12"/>
  <c r="AF19" i="12"/>
  <c r="AG19" i="12"/>
  <c r="BK61" i="12"/>
  <c r="BL61" i="12"/>
  <c r="AG7" i="12"/>
  <c r="AF7" i="12"/>
  <c r="AG57" i="12"/>
  <c r="AF57" i="12"/>
  <c r="BS60" i="12"/>
  <c r="BT60" i="12"/>
  <c r="AG53" i="12"/>
  <c r="AF53" i="12"/>
  <c r="BO58" i="12"/>
  <c r="BP58" i="12"/>
  <c r="AG63" i="12"/>
  <c r="AF63" i="12"/>
  <c r="AD56" i="12"/>
  <c r="AH56" i="12" s="1"/>
  <c r="AD57" i="12"/>
  <c r="AH57" i="12" s="1"/>
  <c r="AD58" i="12"/>
  <c r="AH58" i="12" s="1"/>
  <c r="AD78" i="12"/>
  <c r="AD150" i="12"/>
  <c r="AD154" i="12"/>
  <c r="AD158" i="12"/>
  <c r="AD162" i="12"/>
  <c r="AD166" i="12"/>
  <c r="AD170" i="12"/>
  <c r="AD79" i="12"/>
  <c r="AH79" i="12" s="1"/>
  <c r="AD80" i="12"/>
  <c r="AH80" i="12" s="1"/>
  <c r="AD146" i="12"/>
  <c r="AD148" i="12"/>
  <c r="AD152" i="12"/>
  <c r="AD156" i="12"/>
  <c r="AD160" i="12"/>
  <c r="AD164" i="12"/>
  <c r="AD168" i="12"/>
  <c r="AD147" i="12"/>
  <c r="AD163" i="12"/>
  <c r="AD159" i="12"/>
  <c r="AD149" i="12"/>
  <c r="AD165" i="12"/>
  <c r="AD155" i="12"/>
  <c r="AD151" i="12"/>
  <c r="AD167" i="12"/>
  <c r="AD157" i="12"/>
  <c r="AD153" i="12"/>
  <c r="AD161" i="12"/>
  <c r="AD169" i="12"/>
  <c r="BO63" i="12"/>
  <c r="BP63" i="12"/>
  <c r="AG47" i="12"/>
  <c r="AL22" i="11"/>
  <c r="AB136" i="11" s="1"/>
  <c r="BX17" i="11"/>
  <c r="CC17" i="11" s="1"/>
  <c r="BC18" i="11"/>
  <c r="AP9" i="11"/>
  <c r="AP15" i="11" s="1" a="1"/>
  <c r="I55" i="11"/>
  <c r="Z23" i="11"/>
  <c r="Z78" i="11" s="1"/>
  <c r="V150" i="11"/>
  <c r="Z22" i="11"/>
  <c r="V159" i="11" s="1"/>
  <c r="AD59" i="11"/>
  <c r="Z59" i="11"/>
  <c r="Z117" i="11"/>
  <c r="AH117" i="11"/>
  <c r="V59" i="11"/>
  <c r="V117" i="11"/>
  <c r="AE22" i="11"/>
  <c r="AA141" i="11" s="1"/>
  <c r="W136" i="11"/>
  <c r="W78" i="11"/>
  <c r="AA136" i="11"/>
  <c r="Z138" i="11"/>
  <c r="V80" i="11"/>
  <c r="Z53" i="11"/>
  <c r="V53" i="11"/>
  <c r="Z111" i="11"/>
  <c r="AD53" i="11"/>
  <c r="AH111" i="11"/>
  <c r="V111" i="11"/>
  <c r="AA131" i="11"/>
  <c r="W73" i="11"/>
  <c r="AA73" i="11"/>
  <c r="AE131" i="11"/>
  <c r="AA68" i="11"/>
  <c r="W126" i="11"/>
  <c r="AE68" i="11"/>
  <c r="AA126" i="11"/>
  <c r="W68" i="11"/>
  <c r="Z67" i="11"/>
  <c r="V125" i="11"/>
  <c r="AD125" i="11"/>
  <c r="V67" i="11"/>
  <c r="BP11" i="11"/>
  <c r="AE52" i="11"/>
  <c r="AE110" i="11"/>
  <c r="W52" i="11"/>
  <c r="W110" i="11"/>
  <c r="AA52" i="11"/>
  <c r="AA110" i="11"/>
  <c r="BS64" i="12"/>
  <c r="BT64" i="12"/>
  <c r="AE53" i="11"/>
  <c r="W53" i="11"/>
  <c r="AA53" i="11"/>
  <c r="AA111" i="11"/>
  <c r="AE111" i="11"/>
  <c r="W111" i="11"/>
  <c r="AI111" i="11"/>
  <c r="BP34" i="11"/>
  <c r="W71" i="11"/>
  <c r="AE129" i="11"/>
  <c r="AA71" i="11"/>
  <c r="T18" i="10"/>
  <c r="AF7" i="10" s="1"/>
  <c r="E95" i="10"/>
  <c r="K122" i="10"/>
  <c r="Z29" i="8"/>
  <c r="BE61" i="8"/>
  <c r="BF62" i="8"/>
  <c r="AA30" i="8"/>
  <c r="D98" i="10"/>
  <c r="I123" i="10"/>
  <c r="AS49" i="8"/>
  <c r="K54" i="8"/>
  <c r="N17" i="8"/>
  <c r="K127" i="10"/>
  <c r="G41" i="3"/>
  <c r="G44" i="3"/>
  <c r="G34" i="3"/>
  <c r="AA38" i="14"/>
  <c r="Z38" i="14"/>
  <c r="Z44" i="14"/>
  <c r="AA44" i="14"/>
  <c r="AG80" i="13"/>
  <c r="AE96" i="13"/>
  <c r="AF36" i="12"/>
  <c r="AG36" i="12"/>
  <c r="Z82" i="12"/>
  <c r="Z83" i="12" s="1"/>
  <c r="AF14" i="12"/>
  <c r="AG14" i="12"/>
  <c r="BP45" i="12"/>
  <c r="BO45" i="12"/>
  <c r="AF80" i="12"/>
  <c r="W69" i="11"/>
  <c r="AE127" i="11"/>
  <c r="AA69" i="11"/>
  <c r="W127" i="11"/>
  <c r="AA127" i="11"/>
  <c r="AG36" i="8"/>
  <c r="BL68" i="8"/>
  <c r="Q9" i="8"/>
  <c r="AM74" i="8"/>
  <c r="Z32" i="14"/>
  <c r="AA32" i="14"/>
  <c r="BB63" i="14"/>
  <c r="BC63" i="14"/>
  <c r="Z16" i="14"/>
  <c r="AA16" i="14"/>
  <c r="G35" i="14"/>
  <c r="O27" i="14" s="1"/>
  <c r="AP18" i="14"/>
  <c r="BC15" i="14"/>
  <c r="BB15" i="14"/>
  <c r="Z34" i="14"/>
  <c r="AA34" i="14"/>
  <c r="BB64" i="14"/>
  <c r="BC64" i="14"/>
  <c r="BC14" i="14"/>
  <c r="BB14" i="14"/>
  <c r="Z9" i="14"/>
  <c r="AA9" i="14"/>
  <c r="Z19" i="14"/>
  <c r="AA19" i="14"/>
  <c r="BC23" i="14"/>
  <c r="BB23" i="14"/>
  <c r="D31" i="14"/>
  <c r="K24" i="14" s="1"/>
  <c r="D25" i="14"/>
  <c r="E24" i="14" s="1"/>
  <c r="G28" i="14"/>
  <c r="H27" i="14" s="1"/>
  <c r="L34" i="14"/>
  <c r="N32" i="14" s="1"/>
  <c r="BC32" i="14"/>
  <c r="BB32" i="14"/>
  <c r="Z36" i="14"/>
  <c r="AA36" i="14"/>
  <c r="AF57" i="14"/>
  <c r="AG57" i="14" s="1"/>
  <c r="AH57" i="14" s="1"/>
  <c r="AI57" i="14" s="1"/>
  <c r="AJ57" i="14" s="1"/>
  <c r="AK57" i="14" s="1"/>
  <c r="AL57" i="14" s="1"/>
  <c r="AM57" i="14" s="1"/>
  <c r="AN57" i="14" s="1"/>
  <c r="AO57" i="14" s="1"/>
  <c r="AP57" i="14" s="1"/>
  <c r="AQ57" i="14" s="1"/>
  <c r="Z51" i="14"/>
  <c r="AA51" i="14"/>
  <c r="BB28" i="14"/>
  <c r="BC28" i="14"/>
  <c r="E33" i="14"/>
  <c r="M25" i="14" s="1"/>
  <c r="F32" i="14"/>
  <c r="L26" i="14" s="1"/>
  <c r="BB29" i="14"/>
  <c r="BC29" i="14"/>
  <c r="AA23" i="14"/>
  <c r="Z23" i="14"/>
  <c r="Z59" i="14"/>
  <c r="AA59" i="14"/>
  <c r="AE88" i="13"/>
  <c r="AD78" i="13"/>
  <c r="H57" i="14"/>
  <c r="I57" i="14" s="1"/>
  <c r="J57" i="14" s="1"/>
  <c r="K57" i="14" s="1"/>
  <c r="L57" i="14" s="1"/>
  <c r="M57" i="14" s="1"/>
  <c r="N57" i="14" s="1"/>
  <c r="O57" i="14" s="1"/>
  <c r="AF35" i="12"/>
  <c r="AG35" i="12"/>
  <c r="AF37" i="12"/>
  <c r="AG37" i="12"/>
  <c r="AF39" i="12"/>
  <c r="AG39" i="12"/>
  <c r="AF30" i="12"/>
  <c r="AG30" i="12"/>
  <c r="BO53" i="12"/>
  <c r="BP53" i="12"/>
  <c r="AG12" i="12"/>
  <c r="AF12" i="12"/>
  <c r="BK50" i="12"/>
  <c r="BL50" i="12"/>
  <c r="AF20" i="12"/>
  <c r="AG20" i="12"/>
  <c r="BK58" i="12"/>
  <c r="BL58" i="12"/>
  <c r="AF23" i="12"/>
  <c r="AG23" i="12"/>
  <c r="BH9" i="12"/>
  <c r="BO43" i="12"/>
  <c r="BP43" i="12"/>
  <c r="BS58" i="12"/>
  <c r="BT58" i="12"/>
  <c r="AF58" i="12"/>
  <c r="AF46" i="12"/>
  <c r="AG46" i="12"/>
  <c r="AG64" i="12"/>
  <c r="AF64" i="12"/>
  <c r="AF25" i="12"/>
  <c r="AG25" i="12"/>
  <c r="BS66" i="12"/>
  <c r="BT66" i="12"/>
  <c r="BS61" i="12"/>
  <c r="BT61" i="12"/>
  <c r="W137" i="11"/>
  <c r="W79" i="11"/>
  <c r="AB52" i="11"/>
  <c r="AF52" i="11"/>
  <c r="AF110" i="11"/>
  <c r="X52" i="11"/>
  <c r="X110" i="11"/>
  <c r="AB110" i="11"/>
  <c r="AB59" i="11"/>
  <c r="AB117" i="11"/>
  <c r="AF59" i="11"/>
  <c r="X59" i="11"/>
  <c r="X117" i="11"/>
  <c r="AF117" i="11"/>
  <c r="BC12" i="11"/>
  <c r="BX11" i="11"/>
  <c r="CC11" i="11" s="1"/>
  <c r="V158" i="11"/>
  <c r="V100" i="11"/>
  <c r="X83" i="11"/>
  <c r="X141" i="11"/>
  <c r="AF22" i="11"/>
  <c r="W150" i="11"/>
  <c r="V71" i="11"/>
  <c r="AD129" i="11"/>
  <c r="Z71" i="11"/>
  <c r="V129" i="11"/>
  <c r="AB73" i="11"/>
  <c r="X131" i="11"/>
  <c r="AB131" i="11"/>
  <c r="X73" i="11"/>
  <c r="AB128" i="11"/>
  <c r="X70" i="11"/>
  <c r="AB70" i="11"/>
  <c r="X128" i="11"/>
  <c r="BP14" i="11"/>
  <c r="Y22" i="11"/>
  <c r="AD117" i="11" s="1"/>
  <c r="AE51" i="11"/>
  <c r="W51" i="11"/>
  <c r="AA51" i="11"/>
  <c r="AA109" i="11"/>
  <c r="AE109" i="11"/>
  <c r="W109" i="11"/>
  <c r="AI109" i="11"/>
  <c r="BP17" i="11"/>
  <c r="W70" i="11"/>
  <c r="AE128" i="11"/>
  <c r="AA70" i="11"/>
  <c r="W128" i="11"/>
  <c r="AA128" i="11"/>
  <c r="AV52" i="8"/>
  <c r="Q20" i="8"/>
  <c r="D67" i="7"/>
  <c r="R32" i="4"/>
  <c r="R33" i="4"/>
  <c r="D95" i="10"/>
  <c r="I124" i="10"/>
  <c r="AN75" i="8"/>
  <c r="R10" i="8"/>
  <c r="AT50" i="8"/>
  <c r="O18" i="8"/>
  <c r="G45" i="3"/>
  <c r="D65" i="7"/>
  <c r="AA21" i="14"/>
  <c r="Z21" i="14"/>
  <c r="AM31" i="14"/>
  <c r="AM35" i="14"/>
  <c r="AQ31" i="14" s="1"/>
  <c r="AM34" i="14"/>
  <c r="AP31" i="14" s="1"/>
  <c r="AM32" i="14"/>
  <c r="AN31" i="14" s="1"/>
  <c r="H31" i="14"/>
  <c r="K28" i="14" s="1"/>
  <c r="L35" i="14"/>
  <c r="O32" i="14" s="1"/>
  <c r="K33" i="14"/>
  <c r="M31" i="14" s="1"/>
  <c r="M35" i="14"/>
  <c r="O33" i="14" s="1"/>
  <c r="K32" i="14"/>
  <c r="L31" i="14" s="1"/>
  <c r="L33" i="14"/>
  <c r="M32" i="14" s="1"/>
  <c r="L32" i="14"/>
  <c r="M33" i="14"/>
  <c r="O35" i="14"/>
  <c r="H33" i="14"/>
  <c r="M28" i="14" s="1"/>
  <c r="G31" i="14"/>
  <c r="K27" i="14" s="1"/>
  <c r="E32" i="14"/>
  <c r="L25" i="14" s="1"/>
  <c r="H32" i="14"/>
  <c r="L28" i="14" s="1"/>
  <c r="E28" i="14"/>
  <c r="H25" i="14" s="1"/>
  <c r="H35" i="14"/>
  <c r="O28" i="14" s="1"/>
  <c r="G34" i="14"/>
  <c r="N27" i="14" s="1"/>
  <c r="K35" i="14"/>
  <c r="O31" i="14" s="1"/>
  <c r="D30" i="14"/>
  <c r="J24" i="14" s="1"/>
  <c r="J34" i="14"/>
  <c r="N30" i="14" s="1"/>
  <c r="F33" i="14"/>
  <c r="M26" i="14" s="1"/>
  <c r="AS14" i="14"/>
  <c r="Z69" i="14"/>
  <c r="AA85" i="14" s="1"/>
  <c r="AA69" i="14"/>
  <c r="H28" i="14"/>
  <c r="AS15" i="14"/>
  <c r="AI34" i="14" s="1"/>
  <c r="AP27" i="14" s="1"/>
  <c r="Z22" i="14"/>
  <c r="AA22" i="14"/>
  <c r="J35" i="14"/>
  <c r="O30" i="14" s="1"/>
  <c r="BB37" i="14"/>
  <c r="BC37" i="14"/>
  <c r="Z68" i="14"/>
  <c r="AA68" i="14"/>
  <c r="BB72" i="14"/>
  <c r="BC72" i="14"/>
  <c r="AA20" i="14"/>
  <c r="Z20" i="14"/>
  <c r="AA28" i="14"/>
  <c r="Z28" i="14"/>
  <c r="Z29" i="14"/>
  <c r="AA29" i="14"/>
  <c r="AA37" i="14"/>
  <c r="Z37" i="14"/>
  <c r="D32" i="14"/>
  <c r="L24" i="14" s="1"/>
  <c r="D26" i="14"/>
  <c r="F24" i="14" s="1"/>
  <c r="G29" i="14"/>
  <c r="I27" i="14" s="1"/>
  <c r="K34" i="14"/>
  <c r="N31" i="14" s="1"/>
  <c r="BB11" i="14"/>
  <c r="BC11" i="14"/>
  <c r="AA15" i="14"/>
  <c r="Z15" i="14"/>
  <c r="Z43" i="14"/>
  <c r="AA43" i="14"/>
  <c r="BB75" i="14"/>
  <c r="BC75" i="14"/>
  <c r="E34" i="14"/>
  <c r="N25" i="14" s="1"/>
  <c r="F34" i="14"/>
  <c r="N26" i="14" s="1"/>
  <c r="AG18" i="14"/>
  <c r="BB19" i="14"/>
  <c r="BC19" i="14"/>
  <c r="Z12" i="14"/>
  <c r="AA12" i="14"/>
  <c r="Z70" i="14"/>
  <c r="AA70" i="14"/>
  <c r="Z52" i="14"/>
  <c r="AA52" i="14"/>
  <c r="AE97" i="13"/>
  <c r="AG81" i="13"/>
  <c r="BB31" i="14"/>
  <c r="BC31" i="14"/>
  <c r="AF34" i="12"/>
  <c r="AG34" i="12"/>
  <c r="BK63" i="12"/>
  <c r="BL63" i="12"/>
  <c r="AF6" i="12"/>
  <c r="AC2" i="12"/>
  <c r="AG6" i="12"/>
  <c r="BP44" i="12"/>
  <c r="BO44" i="12"/>
  <c r="AA82" i="12"/>
  <c r="AA83" i="12" s="1"/>
  <c r="AL9" i="12" s="1"/>
  <c r="AG9" i="12"/>
  <c r="AF9" i="12"/>
  <c r="BK52" i="12"/>
  <c r="BL52" i="12"/>
  <c r="AG17" i="12"/>
  <c r="AF17" i="12"/>
  <c r="BK60" i="12"/>
  <c r="BL60" i="12"/>
  <c r="AF28" i="12"/>
  <c r="AG28" i="12"/>
  <c r="BS55" i="12"/>
  <c r="BT55" i="12"/>
  <c r="AG72" i="12"/>
  <c r="AF72" i="12"/>
  <c r="BO52" i="12"/>
  <c r="BP52" i="12"/>
  <c r="AF42" i="12"/>
  <c r="AG42" i="12"/>
  <c r="BO60" i="12"/>
  <c r="BP60" i="12"/>
  <c r="AG50" i="12"/>
  <c r="AF50" i="12"/>
  <c r="AG65" i="12"/>
  <c r="AF65" i="12"/>
  <c r="BO65" i="12"/>
  <c r="BP65" i="12"/>
  <c r="AG70" i="12"/>
  <c r="AF70" i="12"/>
  <c r="AF98" i="12"/>
  <c r="AF102" i="12"/>
  <c r="AF106" i="12"/>
  <c r="AF110" i="12"/>
  <c r="AF114" i="12"/>
  <c r="AF118" i="12"/>
  <c r="AF99" i="12"/>
  <c r="AF101" i="12"/>
  <c r="AF107" i="12"/>
  <c r="AF109" i="12"/>
  <c r="AF115" i="12"/>
  <c r="AF117" i="12"/>
  <c r="AF96" i="12"/>
  <c r="AF100" i="12"/>
  <c r="AF104" i="12"/>
  <c r="AF97" i="12"/>
  <c r="AF103" i="12"/>
  <c r="AF105" i="12"/>
  <c r="AF111" i="12"/>
  <c r="AF113" i="12"/>
  <c r="AF119" i="12"/>
  <c r="AF120" i="12"/>
  <c r="AF112" i="12"/>
  <c r="AF108" i="12"/>
  <c r="AF116" i="12"/>
  <c r="W145" i="11"/>
  <c r="W87" i="11"/>
  <c r="AA145" i="11"/>
  <c r="BC15" i="11"/>
  <c r="BX14" i="11"/>
  <c r="CC14" i="11" s="1"/>
  <c r="X94" i="11"/>
  <c r="X158" i="11"/>
  <c r="X138" i="11"/>
  <c r="X80" i="11"/>
  <c r="CC15" i="11"/>
  <c r="W156" i="11"/>
  <c r="V66" i="11"/>
  <c r="Z124" i="11"/>
  <c r="Z66" i="11"/>
  <c r="V124" i="11"/>
  <c r="AD124" i="11"/>
  <c r="X68" i="11"/>
  <c r="AB68" i="11"/>
  <c r="X126" i="11"/>
  <c r="AB126" i="11"/>
  <c r="AE54" i="11"/>
  <c r="W54" i="11"/>
  <c r="AA54" i="11"/>
  <c r="AE112" i="11"/>
  <c r="W112" i="11"/>
  <c r="AI112" i="11"/>
  <c r="AA112" i="11"/>
  <c r="AQ11" i="11"/>
  <c r="J57" i="11"/>
  <c r="BP16" i="11"/>
  <c r="BP13" i="11"/>
  <c r="W124" i="11"/>
  <c r="W66" i="11"/>
  <c r="AA124" i="11"/>
  <c r="AA66" i="11"/>
  <c r="AE124" i="11"/>
  <c r="P105" i="10"/>
  <c r="BD60" i="8"/>
  <c r="Y28" i="8"/>
  <c r="D63" i="7"/>
  <c r="D97" i="10"/>
  <c r="I125" i="10"/>
  <c r="BA57" i="8"/>
  <c r="V25" i="8"/>
  <c r="BJ66" i="8"/>
  <c r="AE34" i="8"/>
  <c r="G36" i="3"/>
  <c r="L64" i="11" l="1"/>
  <c r="I66" i="11"/>
  <c r="L67" i="11"/>
  <c r="J66" i="11"/>
  <c r="K66" i="11"/>
  <c r="I65" i="11"/>
  <c r="L66" i="11"/>
  <c r="I64" i="11"/>
  <c r="J65" i="11"/>
  <c r="J64" i="11"/>
  <c r="L65" i="11"/>
  <c r="J67" i="11"/>
  <c r="K65" i="11"/>
  <c r="I67" i="11"/>
  <c r="K64" i="11"/>
  <c r="K67" i="11"/>
  <c r="AP15" i="11"/>
  <c r="AS15" i="11"/>
  <c r="AS16" i="11"/>
  <c r="AR18" i="11"/>
  <c r="AQ15" i="11"/>
  <c r="AQ17" i="11"/>
  <c r="AS17" i="11"/>
  <c r="AQ16" i="11"/>
  <c r="AP18" i="11"/>
  <c r="AR16" i="11"/>
  <c r="AQ18" i="11"/>
  <c r="AR15" i="11"/>
  <c r="AP17" i="11"/>
  <c r="AP16" i="11"/>
  <c r="AR17" i="11"/>
  <c r="AS18" i="11"/>
  <c r="H50" i="4"/>
  <c r="I55" i="4" s="1"/>
  <c r="I59" i="4" s="1"/>
  <c r="H49" i="4"/>
  <c r="I54" i="4" s="1"/>
  <c r="AK85" i="8"/>
  <c r="AK88" i="8"/>
  <c r="AJ84" i="8"/>
  <c r="AL85" i="8"/>
  <c r="AJ87" i="8"/>
  <c r="AL88" i="8"/>
  <c r="AK87" i="8"/>
  <c r="AK84" i="8"/>
  <c r="AL87" i="8"/>
  <c r="AJ90" i="8"/>
  <c r="AL84" i="8"/>
  <c r="AJ86" i="8"/>
  <c r="AK90" i="8"/>
  <c r="AL89" i="8"/>
  <c r="AJ85" i="8"/>
  <c r="AL90" i="8"/>
  <c r="AK86" i="8"/>
  <c r="AJ88" i="8"/>
  <c r="AK89" i="8"/>
  <c r="AL86" i="8"/>
  <c r="AJ89" i="8"/>
  <c r="H36" i="3"/>
  <c r="D64" i="7"/>
  <c r="X152" i="11"/>
  <c r="AO34" i="14"/>
  <c r="AP33" i="14" s="1"/>
  <c r="AO33" i="14"/>
  <c r="AO35" i="14"/>
  <c r="AQ33" i="14" s="1"/>
  <c r="Z129" i="11"/>
  <c r="W155" i="11"/>
  <c r="W157" i="11"/>
  <c r="W152" i="11"/>
  <c r="W159" i="11"/>
  <c r="BG16" i="12"/>
  <c r="BH16" i="12"/>
  <c r="AE69" i="11"/>
  <c r="AA129" i="11"/>
  <c r="AI110" i="11"/>
  <c r="AE73" i="11"/>
  <c r="H49" i="3"/>
  <c r="Z83" i="11"/>
  <c r="AA138" i="11"/>
  <c r="AJ115" i="11"/>
  <c r="AJ105" i="12"/>
  <c r="AK104" i="12" s="1"/>
  <c r="AK105" i="12"/>
  <c r="AK106" i="12"/>
  <c r="AL105" i="12" s="1"/>
  <c r="AK107" i="12"/>
  <c r="AM105" i="12" s="1"/>
  <c r="AA64" i="11"/>
  <c r="Z75" i="11" s="1"/>
  <c r="X34" i="11" s="1"/>
  <c r="AA55" i="11"/>
  <c r="AF125" i="11"/>
  <c r="Z122" i="11"/>
  <c r="W56" i="11"/>
  <c r="X112" i="11"/>
  <c r="AB143" i="11"/>
  <c r="AH57" i="11"/>
  <c r="AM97" i="12"/>
  <c r="AM113" i="12" s="1"/>
  <c r="AK115" i="12"/>
  <c r="AD70" i="11"/>
  <c r="V55" i="11"/>
  <c r="H50" i="3"/>
  <c r="G74" i="3"/>
  <c r="G61" i="3"/>
  <c r="G62" i="3"/>
  <c r="AA116" i="11"/>
  <c r="AB129" i="11"/>
  <c r="AF129" i="11"/>
  <c r="X129" i="11"/>
  <c r="AF124" i="11"/>
  <c r="AB124" i="11"/>
  <c r="X124" i="11"/>
  <c r="W154" i="11"/>
  <c r="W151" i="11"/>
  <c r="V108" i="11"/>
  <c r="X55" i="11"/>
  <c r="AF72" i="11"/>
  <c r="AB65" i="11"/>
  <c r="W158" i="11"/>
  <c r="AH112" i="11"/>
  <c r="V96" i="11"/>
  <c r="AF33" i="14"/>
  <c r="AO24" i="14" s="1"/>
  <c r="AH27" i="14"/>
  <c r="AI26" i="14" s="1"/>
  <c r="AA82" i="11"/>
  <c r="AB82" i="11"/>
  <c r="Z81" i="11"/>
  <c r="AG27" i="14"/>
  <c r="AI25" i="14" s="1"/>
  <c r="H38" i="3"/>
  <c r="AH50" i="11"/>
  <c r="W100" i="11"/>
  <c r="AI54" i="11"/>
  <c r="V137" i="11"/>
  <c r="V136" i="11"/>
  <c r="V140" i="11"/>
  <c r="V144" i="11"/>
  <c r="Z137" i="11"/>
  <c r="V139" i="11"/>
  <c r="Z144" i="11"/>
  <c r="Z139" i="11"/>
  <c r="Z140" i="11"/>
  <c r="Z136" i="11"/>
  <c r="AD71" i="11"/>
  <c r="X95" i="11"/>
  <c r="AE71" i="11"/>
  <c r="Z125" i="11"/>
  <c r="X101" i="11"/>
  <c r="AL30" i="14"/>
  <c r="AL35" i="14"/>
  <c r="AQ30" i="14" s="1"/>
  <c r="AL34" i="14"/>
  <c r="AP30" i="14" s="1"/>
  <c r="AL33" i="14"/>
  <c r="AO30" i="14" s="1"/>
  <c r="AL32" i="14"/>
  <c r="AN30" i="14" s="1"/>
  <c r="AL31" i="14"/>
  <c r="AM30" i="14" s="1"/>
  <c r="AK29" i="14"/>
  <c r="AK35" i="14"/>
  <c r="AQ29" i="14" s="1"/>
  <c r="AK34" i="14"/>
  <c r="AP29" i="14" s="1"/>
  <c r="AK33" i="14"/>
  <c r="AO29" i="14" s="1"/>
  <c r="AK32" i="14"/>
  <c r="AN29" i="14" s="1"/>
  <c r="AK30" i="14"/>
  <c r="AL29" i="14" s="1"/>
  <c r="AK31" i="14"/>
  <c r="AM29" i="14" s="1"/>
  <c r="Z87" i="11"/>
  <c r="H35" i="3"/>
  <c r="AI115" i="11"/>
  <c r="V101" i="11"/>
  <c r="V141" i="11"/>
  <c r="AA80" i="11"/>
  <c r="AG79" i="12"/>
  <c r="AA122" i="11"/>
  <c r="AI55" i="11"/>
  <c r="AA114" i="11"/>
  <c r="AD115" i="11"/>
  <c r="AM96" i="12"/>
  <c r="AM112" i="12" s="1"/>
  <c r="AJ115" i="12"/>
  <c r="V128" i="11"/>
  <c r="AH55" i="11"/>
  <c r="H43" i="3"/>
  <c r="V130" i="11"/>
  <c r="AD50" i="11"/>
  <c r="X113" i="11"/>
  <c r="D65" i="11"/>
  <c r="D64" i="11"/>
  <c r="E65" i="11"/>
  <c r="C67" i="11"/>
  <c r="E64" i="11"/>
  <c r="F65" i="11"/>
  <c r="D67" i="11"/>
  <c r="F64" i="11"/>
  <c r="E67" i="11"/>
  <c r="C66" i="11"/>
  <c r="F67" i="11"/>
  <c r="E66" i="11"/>
  <c r="C64" i="11"/>
  <c r="D66" i="11"/>
  <c r="F66" i="11"/>
  <c r="C65" i="11"/>
  <c r="V123" i="11"/>
  <c r="AB84" i="11"/>
  <c r="AD54" i="11"/>
  <c r="V154" i="11"/>
  <c r="AF35" i="14"/>
  <c r="AQ24" i="14" s="1"/>
  <c r="AF24" i="14"/>
  <c r="O78" i="11"/>
  <c r="O80" i="11" s="1"/>
  <c r="O81" i="11" s="1"/>
  <c r="O84" i="11" s="1"/>
  <c r="I113" i="4" a="1"/>
  <c r="AA81" i="11"/>
  <c r="AB79" i="11"/>
  <c r="AG26" i="14"/>
  <c r="AH25" i="14" s="1"/>
  <c r="AJ112" i="11"/>
  <c r="H64" i="3"/>
  <c r="W93" i="11"/>
  <c r="AB78" i="11"/>
  <c r="AF70" i="11"/>
  <c r="AF68" i="11"/>
  <c r="AB138" i="11"/>
  <c r="AE70" i="11"/>
  <c r="X153" i="11"/>
  <c r="AD67" i="11"/>
  <c r="AE126" i="11"/>
  <c r="X159" i="11"/>
  <c r="AH53" i="11"/>
  <c r="AA78" i="11"/>
  <c r="Z89" i="11" s="1"/>
  <c r="Y35" i="11" s="1"/>
  <c r="AE99" i="13"/>
  <c r="AA108" i="11"/>
  <c r="Z119" i="11" s="1"/>
  <c r="W42" i="11" s="1"/>
  <c r="X41" i="11" s="1"/>
  <c r="AI117" i="11"/>
  <c r="AE117" i="11"/>
  <c r="W117" i="11"/>
  <c r="AA117" i="11"/>
  <c r="Z145" i="11"/>
  <c r="AF69" i="11"/>
  <c r="AI57" i="11"/>
  <c r="AI28" i="14"/>
  <c r="AJ27" i="14" s="1"/>
  <c r="AI113" i="11"/>
  <c r="AF71" i="11"/>
  <c r="Z69" i="11"/>
  <c r="X71" i="11"/>
  <c r="AB71" i="11"/>
  <c r="AB66" i="11"/>
  <c r="V69" i="11"/>
  <c r="AD69" i="11"/>
  <c r="AE72" i="11"/>
  <c r="AD73" i="11"/>
  <c r="W72" i="11"/>
  <c r="X66" i="11"/>
  <c r="V73" i="11"/>
  <c r="AA72" i="11"/>
  <c r="AF66" i="11"/>
  <c r="Z73" i="11"/>
  <c r="AF112" i="11"/>
  <c r="AD57" i="11"/>
  <c r="AL114" i="12"/>
  <c r="Z70" i="11"/>
  <c r="AD113" i="11"/>
  <c r="G63" i="3"/>
  <c r="G65" i="3"/>
  <c r="G72" i="3"/>
  <c r="G71" i="3"/>
  <c r="AA58" i="11"/>
  <c r="X122" i="11"/>
  <c r="Z72" i="11"/>
  <c r="AE123" i="11"/>
  <c r="AD108" i="11"/>
  <c r="AN35" i="14"/>
  <c r="AQ32" i="14" s="1"/>
  <c r="AN33" i="14"/>
  <c r="AO32" i="14" s="1"/>
  <c r="AN32" i="14"/>
  <c r="AN34" i="14"/>
  <c r="AP32" i="14" s="1"/>
  <c r="AE125" i="11"/>
  <c r="Z65" i="11"/>
  <c r="AB142" i="11"/>
  <c r="V112" i="11"/>
  <c r="AF31" i="14"/>
  <c r="AM24" i="14" s="1"/>
  <c r="AH29" i="14"/>
  <c r="AK26" i="14" s="1"/>
  <c r="V89" i="11"/>
  <c r="Y34" i="11" s="1"/>
  <c r="AA85" i="11"/>
  <c r="AG28" i="14"/>
  <c r="AJ25" i="14" s="1"/>
  <c r="V94" i="11"/>
  <c r="X96" i="11"/>
  <c r="W99" i="11"/>
  <c r="W94" i="11"/>
  <c r="X99" i="11"/>
  <c r="W97" i="11"/>
  <c r="V95" i="11"/>
  <c r="V98" i="11"/>
  <c r="X98" i="11"/>
  <c r="V93" i="11"/>
  <c r="X93" i="11"/>
  <c r="V99" i="11"/>
  <c r="W101" i="11"/>
  <c r="H48" i="3"/>
  <c r="AD66" i="11"/>
  <c r="AJ52" i="11"/>
  <c r="AG58" i="12"/>
  <c r="AK9" i="12"/>
  <c r="AL8" i="12"/>
  <c r="Z80" i="11"/>
  <c r="AA143" i="11"/>
  <c r="AA142" i="11"/>
  <c r="W144" i="11"/>
  <c r="AA144" i="11"/>
  <c r="W143" i="11"/>
  <c r="W139" i="11"/>
  <c r="W142" i="11"/>
  <c r="W140" i="11"/>
  <c r="AA140" i="11"/>
  <c r="AA139" i="11"/>
  <c r="BG15" i="12"/>
  <c r="BH15" i="12"/>
  <c r="W95" i="11"/>
  <c r="Z126" i="11"/>
  <c r="AJ50" i="11"/>
  <c r="AI35" i="14"/>
  <c r="AQ27" i="14" s="1"/>
  <c r="G52" i="3"/>
  <c r="H33" i="3"/>
  <c r="G53" i="3"/>
  <c r="AE64" i="11"/>
  <c r="W113" i="11"/>
  <c r="AA83" i="11"/>
  <c r="AL97" i="12"/>
  <c r="AL113" i="12" s="1"/>
  <c r="AK114" i="12"/>
  <c r="AF75" i="12"/>
  <c r="AF82" i="12" s="1"/>
  <c r="AF83" i="12" s="1"/>
  <c r="AK15" i="12" s="1"/>
  <c r="AK22" i="12" s="1"/>
  <c r="AG75" i="12"/>
  <c r="AG56" i="12"/>
  <c r="AD128" i="11"/>
  <c r="Z113" i="11"/>
  <c r="G75" i="3"/>
  <c r="G76" i="3"/>
  <c r="W116" i="11"/>
  <c r="AF122" i="11"/>
  <c r="AD130" i="11"/>
  <c r="W123" i="11"/>
  <c r="AF51" i="11"/>
  <c r="AF56" i="11"/>
  <c r="V58" i="11"/>
  <c r="X53" i="11"/>
  <c r="AJ58" i="11"/>
  <c r="AB53" i="11"/>
  <c r="V56" i="11"/>
  <c r="AJ56" i="11"/>
  <c r="X58" i="11"/>
  <c r="X56" i="11"/>
  <c r="V51" i="11"/>
  <c r="V61" i="11" s="1"/>
  <c r="W32" i="11" s="1"/>
  <c r="AF53" i="11"/>
  <c r="Z56" i="11"/>
  <c r="AB58" i="11"/>
  <c r="X51" i="11"/>
  <c r="AD52" i="11"/>
  <c r="AB51" i="11"/>
  <c r="AH52" i="11"/>
  <c r="AD56" i="11"/>
  <c r="AF58" i="11"/>
  <c r="AD51" i="11"/>
  <c r="AD58" i="11"/>
  <c r="AH58" i="11"/>
  <c r="AB56" i="11"/>
  <c r="Z52" i="11"/>
  <c r="V52" i="11"/>
  <c r="AJ53" i="11"/>
  <c r="AA59" i="11"/>
  <c r="AI59" i="11"/>
  <c r="AE59" i="11"/>
  <c r="AH51" i="11"/>
  <c r="W59" i="11"/>
  <c r="Z51" i="11"/>
  <c r="Z58" i="11"/>
  <c r="AJ51" i="11"/>
  <c r="AH56" i="11"/>
  <c r="Z50" i="11"/>
  <c r="AJ55" i="11"/>
  <c r="AF130" i="11"/>
  <c r="H47" i="3"/>
  <c r="W67" i="11"/>
  <c r="X65" i="11"/>
  <c r="AB81" i="11"/>
  <c r="Z54" i="11"/>
  <c r="AE23" i="14"/>
  <c r="AE28" i="14"/>
  <c r="AJ23" i="14" s="1"/>
  <c r="AE27" i="14"/>
  <c r="AI23" i="14" s="1"/>
  <c r="AE26" i="14"/>
  <c r="AH23" i="14" s="1"/>
  <c r="AE24" i="14"/>
  <c r="AF23" i="14" s="1"/>
  <c r="AE30" i="14"/>
  <c r="AL23" i="14" s="1"/>
  <c r="AE31" i="14"/>
  <c r="AM23" i="14" s="1"/>
  <c r="AE35" i="14"/>
  <c r="AQ23" i="14" s="1"/>
  <c r="AE34" i="14"/>
  <c r="AP23" i="14" s="1"/>
  <c r="AE25" i="14"/>
  <c r="AG23" i="14" s="1"/>
  <c r="AE32" i="14"/>
  <c r="AN23" i="14" s="1"/>
  <c r="AE29" i="14"/>
  <c r="AK23" i="14" s="1"/>
  <c r="AE33" i="14"/>
  <c r="AO23" i="14" s="1"/>
  <c r="AF30" i="14"/>
  <c r="AL24" i="14" s="1"/>
  <c r="AH33" i="14"/>
  <c r="AO26" i="14" s="1"/>
  <c r="AH30" i="14"/>
  <c r="AL26" i="14" s="1"/>
  <c r="AB86" i="11"/>
  <c r="AG29" i="14"/>
  <c r="AK25" i="14" s="1"/>
  <c r="X156" i="11"/>
  <c r="X154" i="11"/>
  <c r="X157" i="11"/>
  <c r="X151" i="11"/>
  <c r="AB85" i="11"/>
  <c r="H68" i="3"/>
  <c r="Z85" i="11"/>
  <c r="AA84" i="11"/>
  <c r="AF131" i="11"/>
  <c r="AB141" i="11"/>
  <c r="AJ117" i="11"/>
  <c r="AE66" i="11"/>
  <c r="AA87" i="11"/>
  <c r="AL106" i="12"/>
  <c r="AL107" i="12"/>
  <c r="AM106" i="12" s="1"/>
  <c r="AJ106" i="12"/>
  <c r="AL104" i="12" s="1"/>
  <c r="AJ121" i="12" s="1" a="1"/>
  <c r="AP35" i="14"/>
  <c r="AQ34" i="14" s="1"/>
  <c r="AP34" i="14"/>
  <c r="AB83" i="11"/>
  <c r="AA79" i="11"/>
  <c r="H34" i="3"/>
  <c r="W129" i="11"/>
  <c r="W131" i="11"/>
  <c r="V138" i="11"/>
  <c r="V153" i="11"/>
  <c r="V156" i="11"/>
  <c r="V151" i="11"/>
  <c r="V152" i="11"/>
  <c r="V157" i="11"/>
  <c r="AI108" i="11"/>
  <c r="W153" i="11"/>
  <c r="V145" i="11"/>
  <c r="T52" i="10"/>
  <c r="T55" i="10"/>
  <c r="T57" i="10"/>
  <c r="T59" i="10"/>
  <c r="T63" i="10"/>
  <c r="T65" i="10"/>
  <c r="T69" i="10"/>
  <c r="T61" i="10"/>
  <c r="T53" i="10"/>
  <c r="T68" i="10"/>
  <c r="T71" i="10"/>
  <c r="T64" i="10"/>
  <c r="T62" i="10"/>
  <c r="T56" i="10"/>
  <c r="T66" i="10"/>
  <c r="T54" i="10"/>
  <c r="T60" i="10"/>
  <c r="T58" i="10"/>
  <c r="T67" i="10"/>
  <c r="T70" i="10"/>
  <c r="AD68" i="11"/>
  <c r="AJ109" i="11"/>
  <c r="AJ111" i="11"/>
  <c r="AF114" i="11"/>
  <c r="AF116" i="11"/>
  <c r="AB109" i="11"/>
  <c r="AB111" i="11"/>
  <c r="X114" i="11"/>
  <c r="X116" i="11"/>
  <c r="AJ114" i="11"/>
  <c r="AJ116" i="11"/>
  <c r="AB114" i="11"/>
  <c r="AB116" i="11"/>
  <c r="X111" i="11"/>
  <c r="AF111" i="11"/>
  <c r="X109" i="11"/>
  <c r="AF109" i="11"/>
  <c r="AI29" i="14"/>
  <c r="AK27" i="14" s="1"/>
  <c r="W64" i="11"/>
  <c r="V75" i="11" s="1"/>
  <c r="X33" i="11" s="1"/>
  <c r="W55" i="11"/>
  <c r="AF67" i="11"/>
  <c r="AD64" i="11"/>
  <c r="AI114" i="11"/>
  <c r="V155" i="11"/>
  <c r="X54" i="11"/>
  <c r="W141" i="11"/>
  <c r="Z57" i="11"/>
  <c r="AL96" i="12"/>
  <c r="AL112" i="12" s="1"/>
  <c r="AJ114" i="12"/>
  <c r="BS46" i="12"/>
  <c r="BT46" i="12"/>
  <c r="BH10" i="12"/>
  <c r="BS62" i="12"/>
  <c r="BT62" i="12"/>
  <c r="V70" i="11"/>
  <c r="AD55" i="11"/>
  <c r="G77" i="3"/>
  <c r="G60" i="3"/>
  <c r="W58" i="11"/>
  <c r="AF64" i="11"/>
  <c r="V72" i="11"/>
  <c r="W65" i="11"/>
  <c r="Z143" i="11"/>
  <c r="AF55" i="11"/>
  <c r="X130" i="11"/>
  <c r="AA125" i="11"/>
  <c r="AF123" i="11"/>
  <c r="AD133" i="11" s="1"/>
  <c r="X44" i="11" s="1"/>
  <c r="Z42" i="11" s="1"/>
  <c r="V65" i="11"/>
  <c r="AB139" i="11"/>
  <c r="AH54" i="11"/>
  <c r="BI23" i="12"/>
  <c r="AF26" i="14"/>
  <c r="AH24" i="14" s="1"/>
  <c r="AB140" i="11"/>
  <c r="AH34" i="14"/>
  <c r="AP26" i="14" s="1"/>
  <c r="AH26" i="14"/>
  <c r="Z86" i="11"/>
  <c r="AG35" i="14"/>
  <c r="AQ25" i="14" s="1"/>
  <c r="AG30" i="14"/>
  <c r="AL25" i="14" s="1"/>
  <c r="W96" i="11"/>
  <c r="AJ113" i="11"/>
  <c r="AB80" i="11"/>
  <c r="AF126" i="11"/>
  <c r="W98" i="11"/>
  <c r="X100" i="11"/>
  <c r="AM33" i="14"/>
  <c r="AO31" i="14" s="1"/>
  <c r="H45" i="3"/>
  <c r="AI51" i="11"/>
  <c r="AF73" i="11"/>
  <c r="AJ110" i="11"/>
  <c r="AA137" i="11"/>
  <c r="AG80" i="12"/>
  <c r="H44" i="3"/>
  <c r="AI53" i="11"/>
  <c r="AD111" i="11"/>
  <c r="AH59" i="11"/>
  <c r="V92" i="11"/>
  <c r="X92" i="11"/>
  <c r="AI50" i="11"/>
  <c r="V142" i="11"/>
  <c r="AF127" i="11"/>
  <c r="AE115" i="11"/>
  <c r="AJ57" i="11"/>
  <c r="W122" i="11"/>
  <c r="V133" i="11" s="1"/>
  <c r="X42" i="11" s="1"/>
  <c r="AE113" i="11"/>
  <c r="AD127" i="11"/>
  <c r="V127" i="11"/>
  <c r="Z127" i="11"/>
  <c r="Z131" i="11"/>
  <c r="AD131" i="11"/>
  <c r="V131" i="11"/>
  <c r="W114" i="11"/>
  <c r="V97" i="11"/>
  <c r="AJ54" i="11"/>
  <c r="AK113" i="12"/>
  <c r="G73" i="3"/>
  <c r="G69" i="3"/>
  <c r="G66" i="3"/>
  <c r="G67" i="3"/>
  <c r="C66" i="7"/>
  <c r="C67" i="7"/>
  <c r="C62" i="7"/>
  <c r="C65" i="7"/>
  <c r="C61" i="7"/>
  <c r="C63" i="7"/>
  <c r="C64" i="7" s="1"/>
  <c r="AE116" i="11"/>
  <c r="AB64" i="11"/>
  <c r="Z130" i="11"/>
  <c r="Z109" i="11"/>
  <c r="V110" i="11"/>
  <c r="V114" i="11"/>
  <c r="V116" i="11"/>
  <c r="AH110" i="11"/>
  <c r="AH114" i="11"/>
  <c r="AH116" i="11"/>
  <c r="AD109" i="11"/>
  <c r="Z110" i="11"/>
  <c r="Z114" i="11"/>
  <c r="Z116" i="11"/>
  <c r="AH109" i="11"/>
  <c r="AD116" i="11"/>
  <c r="V109" i="11"/>
  <c r="AD114" i="11"/>
  <c r="AD110" i="11"/>
  <c r="AB113" i="11"/>
  <c r="AB72" i="11"/>
  <c r="H37" i="3"/>
  <c r="AE67" i="11"/>
  <c r="AB123" i="11"/>
  <c r="Z123" i="11"/>
  <c r="AB87" i="11"/>
  <c r="V54" i="11"/>
  <c r="X97" i="11"/>
  <c r="AF25" i="14"/>
  <c r="AG24" i="14" s="1"/>
  <c r="AB144" i="11"/>
  <c r="Z79" i="11"/>
  <c r="Z82" i="11"/>
  <c r="AG32" i="14"/>
  <c r="AN25" i="14" s="1"/>
  <c r="AF128" i="11"/>
  <c r="W92" i="11"/>
  <c r="AJ59" i="11"/>
  <c r="H41" i="3"/>
  <c r="AI52" i="11"/>
  <c r="X150" i="11"/>
  <c r="V161" i="11" s="1"/>
  <c r="Z44" i="11" s="1"/>
  <c r="AH78" i="12"/>
  <c r="AH82" i="12" s="1"/>
  <c r="AH83" i="12" s="1"/>
  <c r="AL16" i="12" s="1"/>
  <c r="AL23" i="12" s="1"/>
  <c r="AG78" i="12"/>
  <c r="AG82" i="12" s="1"/>
  <c r="AG83" i="12" s="1"/>
  <c r="AJ28" i="14"/>
  <c r="AJ31" i="14"/>
  <c r="AM28" i="14" s="1"/>
  <c r="AJ34" i="14"/>
  <c r="AP28" i="14" s="1"/>
  <c r="AJ33" i="14"/>
  <c r="AO28" i="14" s="1"/>
  <c r="AJ32" i="14"/>
  <c r="AN28" i="14" s="1"/>
  <c r="AJ29" i="14"/>
  <c r="AK28" i="14" s="1"/>
  <c r="AJ35" i="14"/>
  <c r="AQ28" i="14" s="1"/>
  <c r="AJ30" i="14"/>
  <c r="AL28" i="14" s="1"/>
  <c r="Z84" i="11"/>
  <c r="N42" i="8" a="1"/>
  <c r="AJ108" i="11"/>
  <c r="AI33" i="14"/>
  <c r="AO27" i="14" s="1"/>
  <c r="I82" i="10"/>
  <c r="I89" i="10"/>
  <c r="I93" i="10"/>
  <c r="I85" i="10"/>
  <c r="I88" i="10"/>
  <c r="I91" i="10"/>
  <c r="I94" i="10"/>
  <c r="I87" i="10"/>
  <c r="I92" i="10"/>
  <c r="I84" i="10"/>
  <c r="I90" i="10"/>
  <c r="I86" i="10"/>
  <c r="I83" i="10"/>
  <c r="W130" i="11"/>
  <c r="AA130" i="11"/>
  <c r="AE130" i="11"/>
  <c r="AI56" i="11"/>
  <c r="AM98" i="12"/>
  <c r="AM114" i="12" s="1"/>
  <c r="AL115" i="12"/>
  <c r="AK96" i="12"/>
  <c r="AK112" i="12" s="1"/>
  <c r="AJ113" i="12"/>
  <c r="H40" i="3"/>
  <c r="G70" i="3"/>
  <c r="U53" i="10"/>
  <c r="U55" i="10"/>
  <c r="U52" i="10"/>
  <c r="U60" i="10"/>
  <c r="U66" i="10"/>
  <c r="U61" i="10"/>
  <c r="U68" i="10"/>
  <c r="U71" i="10"/>
  <c r="U64" i="10"/>
  <c r="U62" i="10"/>
  <c r="U69" i="10"/>
  <c r="U56" i="10"/>
  <c r="U54" i="10"/>
  <c r="U57" i="10"/>
  <c r="U65" i="10"/>
  <c r="U58" i="10"/>
  <c r="U63" i="10"/>
  <c r="U67" i="10"/>
  <c r="U70" i="10"/>
  <c r="U59" i="10"/>
  <c r="AI58" i="11"/>
  <c r="AD72" i="11"/>
  <c r="AE65" i="11"/>
  <c r="AH108" i="11"/>
  <c r="V143" i="11"/>
  <c r="AB55" i="11"/>
  <c r="X72" i="11"/>
  <c r="W125" i="11"/>
  <c r="AF65" i="11"/>
  <c r="AD65" i="11"/>
  <c r="AB145" i="11"/>
  <c r="AD112" i="11"/>
  <c r="X155" i="11"/>
  <c r="AF34" i="14"/>
  <c r="AP24" i="14" s="1"/>
  <c r="AB137" i="11"/>
  <c r="AH35" i="14"/>
  <c r="AQ26" i="14" s="1"/>
  <c r="AA86" i="11"/>
  <c r="AG33" i="14"/>
  <c r="AO25" i="14" s="1"/>
  <c r="Y33" i="11" l="1"/>
  <c r="AL15" i="12"/>
  <c r="AL22" i="12" s="1"/>
  <c r="AK16" i="12"/>
  <c r="AF42" i="11"/>
  <c r="AM121" i="12"/>
  <c r="AL122" i="12"/>
  <c r="AJ123" i="12"/>
  <c r="AM122" i="12"/>
  <c r="AK123" i="12"/>
  <c r="AL124" i="12"/>
  <c r="AK121" i="12"/>
  <c r="AM124" i="12"/>
  <c r="AJ121" i="12"/>
  <c r="AJ122" i="12"/>
  <c r="AL123" i="12"/>
  <c r="AJ124" i="12"/>
  <c r="AK124" i="12"/>
  <c r="AM123" i="12"/>
  <c r="AK122" i="12"/>
  <c r="AL121" i="12"/>
  <c r="AG44" i="11"/>
  <c r="Z34" i="11"/>
  <c r="Z61" i="11"/>
  <c r="W33" i="11" s="1"/>
  <c r="H53" i="3"/>
  <c r="H52" i="3"/>
  <c r="H62" i="3"/>
  <c r="I78" i="11"/>
  <c r="I80" i="11" s="1"/>
  <c r="I81" i="11" s="1"/>
  <c r="I84" i="11" s="1"/>
  <c r="G80" i="3"/>
  <c r="G79" i="3"/>
  <c r="H60" i="3"/>
  <c r="AD75" i="11"/>
  <c r="X35" i="11" s="1"/>
  <c r="H76" i="3"/>
  <c r="I115" i="4"/>
  <c r="J121" i="4" s="1"/>
  <c r="J126" i="4" s="1"/>
  <c r="I114" i="4"/>
  <c r="J120" i="4" s="1"/>
  <c r="J125" i="4" s="1"/>
  <c r="I113" i="4"/>
  <c r="J119" i="4" s="1"/>
  <c r="H61" i="3"/>
  <c r="AD61" i="11"/>
  <c r="W34" i="11" s="1"/>
  <c r="H74" i="3"/>
  <c r="I58" i="4"/>
  <c r="I62" i="4" s="1"/>
  <c r="I64" i="4"/>
  <c r="T73" i="10"/>
  <c r="AG43" i="11"/>
  <c r="H66" i="3"/>
  <c r="H72" i="3"/>
  <c r="Z147" i="11"/>
  <c r="Y44" i="11" s="1"/>
  <c r="Z43" i="11" s="1"/>
  <c r="V147" i="11"/>
  <c r="Y43" i="11" s="1"/>
  <c r="J36" i="3"/>
  <c r="BE39" i="11"/>
  <c r="BF39" i="11" s="1"/>
  <c r="CE41" i="11"/>
  <c r="CF41" i="11" s="1"/>
  <c r="BE54" i="11"/>
  <c r="BF54" i="11" s="1"/>
  <c r="CE36" i="11"/>
  <c r="CF36" i="11" s="1"/>
  <c r="BE32" i="11"/>
  <c r="BF32" i="11" s="1"/>
  <c r="BR33" i="11"/>
  <c r="BS33" i="11" s="1"/>
  <c r="BE35" i="11"/>
  <c r="BF35" i="11" s="1"/>
  <c r="BR36" i="11"/>
  <c r="BS36" i="11" s="1"/>
  <c r="BE38" i="11"/>
  <c r="BF38" i="11" s="1"/>
  <c r="CE40" i="11"/>
  <c r="CF40" i="11" s="1"/>
  <c r="CE18" i="11"/>
  <c r="CF18" i="11" s="1"/>
  <c r="CE32" i="11"/>
  <c r="CF32" i="11" s="1"/>
  <c r="BR37" i="11"/>
  <c r="BS37" i="11" s="1"/>
  <c r="BR55" i="11"/>
  <c r="BS55" i="11" s="1"/>
  <c r="CE62" i="11"/>
  <c r="CF62" i="11" s="1"/>
  <c r="BE11" i="11"/>
  <c r="BF11" i="11" s="1"/>
  <c r="BE16" i="11"/>
  <c r="BF16" i="11" s="1"/>
  <c r="CE35" i="11"/>
  <c r="CF35" i="11" s="1"/>
  <c r="BE36" i="11"/>
  <c r="BF36" i="11" s="1"/>
  <c r="CE38" i="11"/>
  <c r="CF38" i="11" s="1"/>
  <c r="BR34" i="11"/>
  <c r="BS34" i="11" s="1"/>
  <c r="BR39" i="11"/>
  <c r="BS39" i="11" s="1"/>
  <c r="BE55" i="11"/>
  <c r="BF55" i="11" s="1"/>
  <c r="CE56" i="11"/>
  <c r="CF56" i="11" s="1"/>
  <c r="BE57" i="11"/>
  <c r="BF57" i="11" s="1"/>
  <c r="BR59" i="11"/>
  <c r="BS59" i="11" s="1"/>
  <c r="CE61" i="11"/>
  <c r="CF61" i="11" s="1"/>
  <c r="CE13" i="11"/>
  <c r="CF13" i="11" s="1"/>
  <c r="CE37" i="11"/>
  <c r="CF37" i="11" s="1"/>
  <c r="BR41" i="11"/>
  <c r="BS41" i="11" s="1"/>
  <c r="CE60" i="11"/>
  <c r="CF60" i="11" s="1"/>
  <c r="BR61" i="11"/>
  <c r="BS61" i="11" s="1"/>
  <c r="BR56" i="11"/>
  <c r="BS56" i="11" s="1"/>
  <c r="BE33" i="11"/>
  <c r="BF33" i="11" s="1"/>
  <c r="BE40" i="11"/>
  <c r="BF40" i="11" s="1"/>
  <c r="CE55" i="11"/>
  <c r="CF55" i="11" s="1"/>
  <c r="BR60" i="11"/>
  <c r="BS60" i="11" s="1"/>
  <c r="BR63" i="11"/>
  <c r="BS63" i="11" s="1"/>
  <c r="CE16" i="11"/>
  <c r="CF16" i="11" s="1"/>
  <c r="CE34" i="11"/>
  <c r="CF34" i="11" s="1"/>
  <c r="CE57" i="11"/>
  <c r="CF57" i="11" s="1"/>
  <c r="CE63" i="11"/>
  <c r="CF63" i="11" s="1"/>
  <c r="BE59" i="11"/>
  <c r="BF59" i="11" s="1"/>
  <c r="BR58" i="11"/>
  <c r="BS58" i="11" s="1"/>
  <c r="BE61" i="11"/>
  <c r="BF61" i="11" s="1"/>
  <c r="BE63" i="11"/>
  <c r="BF63" i="11" s="1"/>
  <c r="BE58" i="11"/>
  <c r="BF58" i="11" s="1"/>
  <c r="CE11" i="11"/>
  <c r="CF11" i="11" s="1"/>
  <c r="CE17" i="11"/>
  <c r="CF17" i="11" s="1"/>
  <c r="BE41" i="11"/>
  <c r="BF41" i="11" s="1"/>
  <c r="BR38" i="11"/>
  <c r="BS38" i="11" s="1"/>
  <c r="CE39" i="11"/>
  <c r="CF39" i="11" s="1"/>
  <c r="BR35" i="11"/>
  <c r="BS35" i="11" s="1"/>
  <c r="CE19" i="11"/>
  <c r="CF19" i="11" s="1"/>
  <c r="BE37" i="11"/>
  <c r="BF37" i="11" s="1"/>
  <c r="CE12" i="11"/>
  <c r="CF12" i="11" s="1"/>
  <c r="CE58" i="11"/>
  <c r="CF58" i="11" s="1"/>
  <c r="BE62" i="11"/>
  <c r="BF62" i="11" s="1"/>
  <c r="BE60" i="11"/>
  <c r="BF60" i="11" s="1"/>
  <c r="BE34" i="11"/>
  <c r="BF34" i="11" s="1"/>
  <c r="CE54" i="11"/>
  <c r="CF54" i="11" s="1"/>
  <c r="BR57" i="11"/>
  <c r="BS57" i="11" s="1"/>
  <c r="BR62" i="11"/>
  <c r="BS62" i="11" s="1"/>
  <c r="BR40" i="11"/>
  <c r="BS40" i="11" s="1"/>
  <c r="BE17" i="11"/>
  <c r="BF17" i="11" s="1"/>
  <c r="BE14" i="11"/>
  <c r="BF14" i="11" s="1"/>
  <c r="CE33" i="11"/>
  <c r="CF33" i="11" s="1"/>
  <c r="BE56" i="11"/>
  <c r="BF56" i="11" s="1"/>
  <c r="CE59" i="11"/>
  <c r="CF59" i="11" s="1"/>
  <c r="BR12" i="11"/>
  <c r="BS12" i="11" s="1"/>
  <c r="CE14" i="11"/>
  <c r="CF14" i="11" s="1"/>
  <c r="BR11" i="11"/>
  <c r="BS11" i="11" s="1"/>
  <c r="CE10" i="11"/>
  <c r="CF10" i="11" s="1"/>
  <c r="BR16" i="11"/>
  <c r="BS16" i="11" s="1"/>
  <c r="BR13" i="11"/>
  <c r="BS13" i="11" s="1"/>
  <c r="BE15" i="11"/>
  <c r="BF15" i="11" s="1"/>
  <c r="BR17" i="11"/>
  <c r="BS17" i="11" s="1"/>
  <c r="BE19" i="11"/>
  <c r="BF19" i="11" s="1"/>
  <c r="BE10" i="11"/>
  <c r="BF10" i="11" s="1"/>
  <c r="BE13" i="11"/>
  <c r="BF13" i="11" s="1"/>
  <c r="BE12" i="11"/>
  <c r="BF12" i="11" s="1"/>
  <c r="BR32" i="11"/>
  <c r="BS32" i="11" s="1"/>
  <c r="BE18" i="11"/>
  <c r="BF18" i="11" s="1"/>
  <c r="BR14" i="11"/>
  <c r="BS14" i="11" s="1"/>
  <c r="BR15" i="11"/>
  <c r="BS15" i="11" s="1"/>
  <c r="BR19" i="11"/>
  <c r="BS19" i="11" s="1"/>
  <c r="BR54" i="11"/>
  <c r="BS54" i="11" s="1"/>
  <c r="BR18" i="11"/>
  <c r="BS18" i="11" s="1"/>
  <c r="BR10" i="11"/>
  <c r="BS10" i="11" s="1"/>
  <c r="CE15" i="11"/>
  <c r="CF15" i="11" s="1"/>
  <c r="H77" i="3"/>
  <c r="H69" i="3"/>
  <c r="AK23" i="12"/>
  <c r="H65" i="3"/>
  <c r="C78" i="11"/>
  <c r="C80" i="11" s="1"/>
  <c r="C81" i="11" s="1"/>
  <c r="C84" i="11" s="1"/>
  <c r="H71" i="3"/>
  <c r="H70" i="3"/>
  <c r="H73" i="3"/>
  <c r="AD119" i="11"/>
  <c r="W43" i="11" s="1"/>
  <c r="Y41" i="11" s="1"/>
  <c r="H63" i="3"/>
  <c r="Z133" i="11"/>
  <c r="X43" i="11" s="1"/>
  <c r="Y42" i="11" s="1"/>
  <c r="V103" i="11"/>
  <c r="Z35" i="11" s="1"/>
  <c r="AH44" i="11" s="1"/>
  <c r="T42" i="8"/>
  <c r="O43" i="8"/>
  <c r="P44" i="8"/>
  <c r="Q45" i="8"/>
  <c r="R46" i="8"/>
  <c r="S47" i="8"/>
  <c r="T48" i="8"/>
  <c r="Q59" i="8"/>
  <c r="N60" i="8"/>
  <c r="S61" i="8"/>
  <c r="N42" i="8"/>
  <c r="N68" i="8" s="1" a="1"/>
  <c r="P43" i="8"/>
  <c r="Q44" i="8"/>
  <c r="R45" i="8"/>
  <c r="S46" i="8"/>
  <c r="T47" i="8"/>
  <c r="N49" i="8"/>
  <c r="N50" i="8"/>
  <c r="N51" i="8"/>
  <c r="N52" i="8"/>
  <c r="N53" i="8"/>
  <c r="N54" i="8"/>
  <c r="N55" i="8"/>
  <c r="N56" i="8"/>
  <c r="N57" i="8"/>
  <c r="N58" i="8"/>
  <c r="R59" i="8"/>
  <c r="O60" i="8"/>
  <c r="T61" i="8"/>
  <c r="Q43" i="8"/>
  <c r="R44" i="8"/>
  <c r="S45" i="8"/>
  <c r="T46" i="8"/>
  <c r="N48" i="8"/>
  <c r="O49" i="8"/>
  <c r="O50" i="8"/>
  <c r="O51" i="8"/>
  <c r="O52" i="8"/>
  <c r="O53" i="8"/>
  <c r="O54" i="8"/>
  <c r="O55" i="8"/>
  <c r="O56" i="8"/>
  <c r="O57" i="8"/>
  <c r="O58" i="8"/>
  <c r="S59" i="8"/>
  <c r="P60" i="8"/>
  <c r="O42" i="8"/>
  <c r="R43" i="8"/>
  <c r="S44" i="8"/>
  <c r="T45" i="8"/>
  <c r="N47" i="8"/>
  <c r="O48" i="8"/>
  <c r="P49" i="8"/>
  <c r="P50" i="8"/>
  <c r="P51" i="8"/>
  <c r="P52" i="8"/>
  <c r="P53" i="8"/>
  <c r="P54" i="8"/>
  <c r="P55" i="8"/>
  <c r="P56" i="8"/>
  <c r="P57" i="8"/>
  <c r="P58" i="8"/>
  <c r="T59" i="8"/>
  <c r="Q60" i="8"/>
  <c r="N61" i="8"/>
  <c r="P42" i="8"/>
  <c r="S43" i="8"/>
  <c r="T44" i="8"/>
  <c r="N46" i="8"/>
  <c r="O47" i="8"/>
  <c r="P48" i="8"/>
  <c r="Q49" i="8"/>
  <c r="Q50" i="8"/>
  <c r="Q51" i="8"/>
  <c r="Q52" i="8"/>
  <c r="Q53" i="8"/>
  <c r="Q54" i="8"/>
  <c r="Q55" i="8"/>
  <c r="Q56" i="8"/>
  <c r="Q57" i="8"/>
  <c r="Q58" i="8"/>
  <c r="R60" i="8"/>
  <c r="O61" i="8"/>
  <c r="Q42" i="8"/>
  <c r="T43" i="8"/>
  <c r="N45" i="8"/>
  <c r="O46" i="8"/>
  <c r="P47" i="8"/>
  <c r="Q48" i="8"/>
  <c r="R49" i="8"/>
  <c r="R50" i="8"/>
  <c r="R51" i="8"/>
  <c r="R52" i="8"/>
  <c r="R53" i="8"/>
  <c r="R54" i="8"/>
  <c r="R55" i="8"/>
  <c r="R56" i="8"/>
  <c r="R57" i="8"/>
  <c r="R58" i="8"/>
  <c r="N59" i="8"/>
  <c r="S60" i="8"/>
  <c r="P61" i="8"/>
  <c r="O44" i="8"/>
  <c r="O45" i="8"/>
  <c r="T52" i="8"/>
  <c r="T55" i="8"/>
  <c r="P45" i="8"/>
  <c r="P46" i="8"/>
  <c r="S53" i="8"/>
  <c r="S56" i="8"/>
  <c r="O59" i="8"/>
  <c r="Q61" i="8"/>
  <c r="Q46" i="8"/>
  <c r="Q47" i="8"/>
  <c r="T53" i="8"/>
  <c r="T56" i="8"/>
  <c r="P59" i="8"/>
  <c r="R61" i="8"/>
  <c r="S52" i="8"/>
  <c r="R47" i="8"/>
  <c r="R48" i="8"/>
  <c r="S57" i="8"/>
  <c r="S55" i="8"/>
  <c r="R42" i="8"/>
  <c r="S48" i="8"/>
  <c r="S49" i="8"/>
  <c r="T57" i="8"/>
  <c r="S42" i="8"/>
  <c r="T49" i="8"/>
  <c r="S50" i="8"/>
  <c r="S54" i="8"/>
  <c r="S58" i="8"/>
  <c r="N44" i="8"/>
  <c r="T51" i="8"/>
  <c r="T50" i="8"/>
  <c r="S51" i="8"/>
  <c r="T54" i="8"/>
  <c r="T58" i="8"/>
  <c r="T60" i="8"/>
  <c r="N43" i="8"/>
  <c r="BI22" i="12"/>
  <c r="V119" i="11"/>
  <c r="W41" i="11" s="1"/>
  <c r="X46" i="11" s="1"/>
  <c r="H67" i="3"/>
  <c r="H75" i="3"/>
  <c r="AH119" i="11"/>
  <c r="W44" i="11" s="1"/>
  <c r="Z41" i="11" s="1"/>
  <c r="BG17" i="12"/>
  <c r="BH17" i="12"/>
  <c r="BH23" i="12" s="1"/>
  <c r="BH22" i="12"/>
  <c r="AH61" i="11"/>
  <c r="W35" i="11" s="1"/>
  <c r="J61" i="3" l="1"/>
  <c r="AE42" i="11"/>
  <c r="X32" i="11"/>
  <c r="I67" i="4"/>
  <c r="K67" i="4" s="1"/>
  <c r="I70" i="4" s="1"/>
  <c r="I68" i="4"/>
  <c r="K68" i="4" s="1"/>
  <c r="J124" i="4"/>
  <c r="J129" i="4" s="1"/>
  <c r="J131" i="4"/>
  <c r="AH43" i="11"/>
  <c r="AE41" i="11"/>
  <c r="P68" i="8"/>
  <c r="P69" i="8"/>
  <c r="Q70" i="8"/>
  <c r="R71" i="8"/>
  <c r="R72" i="8"/>
  <c r="R73" i="8"/>
  <c r="R74" i="8"/>
  <c r="R75" i="8"/>
  <c r="N76" i="8"/>
  <c r="S77" i="8"/>
  <c r="P78" i="8"/>
  <c r="N79" i="8"/>
  <c r="T80" i="8"/>
  <c r="R81" i="8"/>
  <c r="P82" i="8"/>
  <c r="N83" i="8"/>
  <c r="T84" i="8"/>
  <c r="N85" i="8"/>
  <c r="Q86" i="8"/>
  <c r="T87" i="8"/>
  <c r="Q68" i="8"/>
  <c r="Q69" i="8"/>
  <c r="R70" i="8"/>
  <c r="S71" i="8"/>
  <c r="S72" i="8"/>
  <c r="S73" i="8"/>
  <c r="S74" i="8"/>
  <c r="S75" i="8"/>
  <c r="O76" i="8"/>
  <c r="T77" i="8"/>
  <c r="Q78" i="8"/>
  <c r="O79" i="8"/>
  <c r="S81" i="8"/>
  <c r="Q82" i="8"/>
  <c r="O83" i="8"/>
  <c r="O85" i="8"/>
  <c r="R86" i="8"/>
  <c r="R68" i="8"/>
  <c r="R69" i="8"/>
  <c r="S70" i="8"/>
  <c r="T71" i="8"/>
  <c r="T72" i="8"/>
  <c r="T73" i="8"/>
  <c r="T74" i="8"/>
  <c r="T75" i="8"/>
  <c r="P76" i="8"/>
  <c r="R78" i="8"/>
  <c r="P79" i="8"/>
  <c r="N80" i="8"/>
  <c r="T81" i="8"/>
  <c r="R82" i="8"/>
  <c r="P83" i="8"/>
  <c r="N84" i="8"/>
  <c r="P85" i="8"/>
  <c r="S86" i="8"/>
  <c r="N87" i="8"/>
  <c r="S68" i="8"/>
  <c r="S69" i="8"/>
  <c r="T70" i="8"/>
  <c r="Q76" i="8"/>
  <c r="N77" i="8"/>
  <c r="S78" i="8"/>
  <c r="Q79" i="8"/>
  <c r="O80" i="8"/>
  <c r="S82" i="8"/>
  <c r="Q83" i="8"/>
  <c r="O84" i="8"/>
  <c r="Q85" i="8"/>
  <c r="T86" i="8"/>
  <c r="O87" i="8"/>
  <c r="T68" i="8"/>
  <c r="T69" i="8"/>
  <c r="N71" i="8"/>
  <c r="N72" i="8"/>
  <c r="N73" i="8"/>
  <c r="N74" i="8"/>
  <c r="N75" i="8"/>
  <c r="R76" i="8"/>
  <c r="O77" i="8"/>
  <c r="T78" i="8"/>
  <c r="R79" i="8"/>
  <c r="P80" i="8"/>
  <c r="N81" i="8"/>
  <c r="T82" i="8"/>
  <c r="R83" i="8"/>
  <c r="P84" i="8"/>
  <c r="R85" i="8"/>
  <c r="P87" i="8"/>
  <c r="N68" i="8"/>
  <c r="N70" i="8"/>
  <c r="O71" i="8"/>
  <c r="O72" i="8"/>
  <c r="O73" i="8"/>
  <c r="O74" i="8"/>
  <c r="O75" i="8"/>
  <c r="Q71" i="8"/>
  <c r="Q75" i="8"/>
  <c r="R77" i="8"/>
  <c r="T79" i="8"/>
  <c r="T85" i="8"/>
  <c r="Q87" i="8"/>
  <c r="P72" i="8"/>
  <c r="N82" i="8"/>
  <c r="Q84" i="8"/>
  <c r="R87" i="8"/>
  <c r="P75" i="8"/>
  <c r="S85" i="8"/>
  <c r="O68" i="8"/>
  <c r="Q72" i="8"/>
  <c r="N78" i="8"/>
  <c r="Q80" i="8"/>
  <c r="O82" i="8"/>
  <c r="R84" i="8"/>
  <c r="N86" i="8"/>
  <c r="S87" i="8"/>
  <c r="Q77" i="8"/>
  <c r="N69" i="8"/>
  <c r="P73" i="8"/>
  <c r="S76" i="8"/>
  <c r="O78" i="8"/>
  <c r="R80" i="8"/>
  <c r="S84" i="8"/>
  <c r="O86" i="8"/>
  <c r="T83" i="8"/>
  <c r="O69" i="8"/>
  <c r="Q73" i="8"/>
  <c r="T76" i="8"/>
  <c r="S80" i="8"/>
  <c r="P86" i="8"/>
  <c r="O70" i="8"/>
  <c r="P74" i="8"/>
  <c r="O81" i="8"/>
  <c r="S79" i="8"/>
  <c r="P70" i="8"/>
  <c r="Q74" i="8"/>
  <c r="P77" i="8"/>
  <c r="P81" i="8"/>
  <c r="S83" i="8"/>
  <c r="P71" i="8"/>
  <c r="Q81" i="8"/>
  <c r="J35" i="3"/>
  <c r="J37" i="3"/>
  <c r="J41" i="3"/>
  <c r="J47" i="3"/>
  <c r="J50" i="3"/>
  <c r="J38" i="3"/>
  <c r="J39" i="3"/>
  <c r="J45" i="3"/>
  <c r="J43" i="3"/>
  <c r="J42" i="3"/>
  <c r="J40" i="3"/>
  <c r="AJ129" i="12" a="1"/>
  <c r="AG42" i="11"/>
  <c r="H80" i="3"/>
  <c r="J75" i="3" s="1"/>
  <c r="H79" i="3"/>
  <c r="J46" i="3"/>
  <c r="AE43" i="11"/>
  <c r="Y32" i="11"/>
  <c r="AG41" i="11" s="1"/>
  <c r="AF43" i="11"/>
  <c r="J33" i="3"/>
  <c r="AE44" i="11"/>
  <c r="Z32" i="11"/>
  <c r="AH41" i="11" s="1"/>
  <c r="J49" i="3"/>
  <c r="Z33" i="11"/>
  <c r="AH42" i="11" s="1"/>
  <c r="AF44" i="11"/>
  <c r="J48" i="3"/>
  <c r="J44" i="3"/>
  <c r="J34" i="3"/>
  <c r="J64" i="3" l="1"/>
  <c r="J74" i="3"/>
  <c r="J68" i="3"/>
  <c r="J63" i="3"/>
  <c r="J135" i="4"/>
  <c r="L135" i="4" s="1"/>
  <c r="J134" i="4"/>
  <c r="L134" i="4" s="1"/>
  <c r="J137" i="4" s="1"/>
  <c r="J62" i="3"/>
  <c r="J76" i="3"/>
  <c r="J77" i="3"/>
  <c r="J71" i="3"/>
  <c r="J69" i="3"/>
  <c r="J70" i="3"/>
  <c r="J65" i="3"/>
  <c r="J73" i="3"/>
  <c r="J60" i="3"/>
  <c r="AJ7" i="8" a="1"/>
  <c r="AS23" i="8" a="1"/>
  <c r="J66" i="3"/>
  <c r="J52" i="3"/>
  <c r="AF41" i="11"/>
  <c r="X37" i="11"/>
  <c r="AD30" i="11" s="1"/>
  <c r="AD34" i="11" s="1"/>
  <c r="J72" i="3"/>
  <c r="AM129" i="12"/>
  <c r="AK130" i="12"/>
  <c r="AJ129" i="12"/>
  <c r="AM131" i="12"/>
  <c r="AK132" i="12"/>
  <c r="AL132" i="12"/>
  <c r="AK129" i="12"/>
  <c r="AJ130" i="12"/>
  <c r="AM130" i="12"/>
  <c r="AK131" i="12"/>
  <c r="AJ132" i="12"/>
  <c r="AL131" i="12"/>
  <c r="AM132" i="12"/>
  <c r="AL129" i="12"/>
  <c r="AJ131" i="12"/>
  <c r="AL130" i="12"/>
  <c r="J67" i="3"/>
  <c r="J79" i="3" l="1"/>
  <c r="K37" i="3"/>
  <c r="K41" i="3" s="1"/>
  <c r="K33" i="3"/>
  <c r="K45" i="3" s="1"/>
  <c r="AL7" i="8"/>
  <c r="AN8" i="8"/>
  <c r="AP9" i="8"/>
  <c r="AJ10" i="8"/>
  <c r="AL11" i="8"/>
  <c r="AN12" i="8"/>
  <c r="AO13" i="8"/>
  <c r="AM7" i="8"/>
  <c r="AO8" i="8"/>
  <c r="AK10" i="8"/>
  <c r="AM11" i="8"/>
  <c r="AO12" i="8"/>
  <c r="AP13" i="8"/>
  <c r="AN7" i="8"/>
  <c r="AP8" i="8"/>
  <c r="AJ9" i="8"/>
  <c r="AL10" i="8"/>
  <c r="AN11" i="8"/>
  <c r="AP12" i="8"/>
  <c r="AO7" i="8"/>
  <c r="AK9" i="8"/>
  <c r="AM10" i="8"/>
  <c r="AO11" i="8"/>
  <c r="AJ13" i="8"/>
  <c r="AP7" i="8"/>
  <c r="AJ8" i="8"/>
  <c r="AL9" i="8"/>
  <c r="AN10" i="8"/>
  <c r="AP11" i="8"/>
  <c r="AJ12" i="8"/>
  <c r="AK13" i="8"/>
  <c r="AJ7" i="8"/>
  <c r="AK8" i="8"/>
  <c r="AM9" i="8"/>
  <c r="AO10" i="8"/>
  <c r="AK12" i="8"/>
  <c r="AL13" i="8"/>
  <c r="AL8" i="8"/>
  <c r="AN9" i="8"/>
  <c r="AP10" i="8"/>
  <c r="AJ11" i="8"/>
  <c r="AL12" i="8"/>
  <c r="AM13" i="8"/>
  <c r="AK11" i="8"/>
  <c r="AM8" i="8"/>
  <c r="AM12" i="8"/>
  <c r="AO9" i="8"/>
  <c r="AN13" i="8"/>
  <c r="AK7" i="8"/>
  <c r="AU23" i="8"/>
  <c r="AT24" i="8"/>
  <c r="AT25" i="8"/>
  <c r="AT26" i="8"/>
  <c r="AU27" i="8"/>
  <c r="AS33" i="8"/>
  <c r="AT34" i="8"/>
  <c r="AU35" i="8"/>
  <c r="AT39" i="8"/>
  <c r="AU24" i="8"/>
  <c r="AU25" i="8"/>
  <c r="AU26" i="8"/>
  <c r="AS32" i="8"/>
  <c r="AT33" i="8"/>
  <c r="AU34" i="8"/>
  <c r="AS38" i="8"/>
  <c r="AU39" i="8"/>
  <c r="AS42" i="8"/>
  <c r="AS31" i="8"/>
  <c r="AT32" i="8"/>
  <c r="AU33" i="8"/>
  <c r="AT38" i="8"/>
  <c r="AT42" i="8"/>
  <c r="AS30" i="8"/>
  <c r="AT31" i="8"/>
  <c r="AU32" i="8"/>
  <c r="AS37" i="8"/>
  <c r="AU38" i="8"/>
  <c r="AS41" i="8"/>
  <c r="AU42" i="8"/>
  <c r="AS29" i="8"/>
  <c r="AT30" i="8"/>
  <c r="AU31" i="8"/>
  <c r="AT37" i="8"/>
  <c r="AT41" i="8"/>
  <c r="AS23" i="8"/>
  <c r="AS28" i="8"/>
  <c r="AT29" i="8"/>
  <c r="AU30" i="8"/>
  <c r="AS36" i="8"/>
  <c r="AU37" i="8"/>
  <c r="AS40" i="8"/>
  <c r="AU41" i="8"/>
  <c r="AU36" i="8"/>
  <c r="AS26" i="8"/>
  <c r="AS27" i="8"/>
  <c r="AS39" i="8"/>
  <c r="AT40" i="8"/>
  <c r="AS25" i="8"/>
  <c r="AT23" i="8"/>
  <c r="AT27" i="8"/>
  <c r="AU40" i="8"/>
  <c r="AT35" i="8"/>
  <c r="AT28" i="8"/>
  <c r="AS24" i="8"/>
  <c r="AU28" i="8"/>
  <c r="AU29" i="8"/>
  <c r="AS34" i="8"/>
  <c r="AS35" i="8"/>
  <c r="AT36" i="8"/>
  <c r="AW23" i="8" l="1" a="1"/>
  <c r="K64" i="3"/>
  <c r="K68" i="3" s="1"/>
  <c r="K60" i="3"/>
  <c r="K72" i="3" s="1"/>
  <c r="AW28" i="8" l="1"/>
  <c r="AX29" i="8"/>
  <c r="AY30" i="8"/>
  <c r="AW36" i="8"/>
  <c r="AY37" i="8"/>
  <c r="AW40" i="8"/>
  <c r="AY41" i="8"/>
  <c r="AW23" i="8"/>
  <c r="AS75" i="8" s="1" a="1"/>
  <c r="AW27" i="8"/>
  <c r="AX28" i="8"/>
  <c r="AY29" i="8"/>
  <c r="AW35" i="8"/>
  <c r="AX36" i="8"/>
  <c r="AX40" i="8"/>
  <c r="AW24" i="8"/>
  <c r="AW25" i="8"/>
  <c r="AW26" i="8"/>
  <c r="AX27" i="8"/>
  <c r="AY28" i="8"/>
  <c r="AW34" i="8"/>
  <c r="AX35" i="8"/>
  <c r="AY36" i="8"/>
  <c r="AW39" i="8"/>
  <c r="AY40" i="8"/>
  <c r="AX23" i="8"/>
  <c r="AX24" i="8"/>
  <c r="AX25" i="8"/>
  <c r="AX26" i="8"/>
  <c r="AY27" i="8"/>
  <c r="AW33" i="8"/>
  <c r="AX34" i="8"/>
  <c r="AY35" i="8"/>
  <c r="AX39" i="8"/>
  <c r="AY23" i="8"/>
  <c r="AY24" i="8"/>
  <c r="AY25" i="8"/>
  <c r="AY26" i="8"/>
  <c r="AW32" i="8"/>
  <c r="AX33" i="8"/>
  <c r="AY34" i="8"/>
  <c r="AW38" i="8"/>
  <c r="AY39" i="8"/>
  <c r="AW42" i="8"/>
  <c r="AW31" i="8"/>
  <c r="AX32" i="8"/>
  <c r="AY33" i="8"/>
  <c r="AX38" i="8"/>
  <c r="AX42" i="8"/>
  <c r="AW30" i="8"/>
  <c r="AW37" i="8"/>
  <c r="AX30" i="8"/>
  <c r="AX37" i="8"/>
  <c r="AY38" i="8"/>
  <c r="AW29" i="8"/>
  <c r="AX31" i="8"/>
  <c r="AY31" i="8"/>
  <c r="AW41" i="8"/>
  <c r="AY32" i="8"/>
  <c r="AX41" i="8"/>
  <c r="AY42" i="8"/>
  <c r="AS76" i="8" l="1"/>
  <c r="AT79" i="8"/>
  <c r="AT83" i="8"/>
  <c r="AT86" i="8"/>
  <c r="AS89" i="8"/>
  <c r="AU90" i="8"/>
  <c r="AT93" i="8"/>
  <c r="AT76" i="8"/>
  <c r="AU79" i="8"/>
  <c r="AS80" i="8"/>
  <c r="AU83" i="8"/>
  <c r="AU86" i="8"/>
  <c r="AT89" i="8"/>
  <c r="AS91" i="8"/>
  <c r="AU93" i="8"/>
  <c r="AU76" i="8"/>
  <c r="AT80" i="8"/>
  <c r="AS85" i="8"/>
  <c r="AS88" i="8"/>
  <c r="AU89" i="8"/>
  <c r="AT91" i="8"/>
  <c r="AS94" i="8"/>
  <c r="AS77" i="8"/>
  <c r="AU80" i="8"/>
  <c r="AS81" i="8"/>
  <c r="AT85" i="8"/>
  <c r="AT88" i="8"/>
  <c r="AU91" i="8"/>
  <c r="AT94" i="8"/>
  <c r="AS75" i="8"/>
  <c r="AT77" i="8"/>
  <c r="AT81" i="8"/>
  <c r="AU85" i="8"/>
  <c r="AS87" i="8"/>
  <c r="AU88" i="8"/>
  <c r="AS92" i="8"/>
  <c r="AU94" i="8"/>
  <c r="AU81" i="8"/>
  <c r="AS83" i="8"/>
  <c r="AT75" i="8"/>
  <c r="AU77" i="8"/>
  <c r="AS79" i="8"/>
  <c r="AU75" i="8"/>
  <c r="AS90" i="8"/>
  <c r="AS86" i="8"/>
  <c r="AS82" i="8"/>
  <c r="AT87" i="8"/>
  <c r="AT90" i="8"/>
  <c r="AS78" i="8"/>
  <c r="AT82" i="8"/>
  <c r="AS84" i="8"/>
  <c r="AU87" i="8"/>
  <c r="AT92" i="8"/>
  <c r="AT78" i="8"/>
  <c r="AU82" i="8"/>
  <c r="AT84" i="8"/>
  <c r="AU92" i="8"/>
  <c r="AU78" i="8"/>
  <c r="AU84" i="8"/>
  <c r="AS93" i="8"/>
</calcChain>
</file>

<file path=xl/sharedStrings.xml><?xml version="1.0" encoding="utf-8"?>
<sst xmlns="http://schemas.openxmlformats.org/spreadsheetml/2006/main" count="3219" uniqueCount="474">
  <si>
    <t>First Iteration Regression (linear least-squares) &amp; Stress Analysis</t>
  </si>
  <si>
    <t>A-P</t>
  </si>
  <si>
    <t>Eucliden Distance Matrix (Round 2)</t>
  </si>
  <si>
    <t>A-P-C</t>
  </si>
  <si>
    <t>A-P-C-R</t>
  </si>
  <si>
    <t>Single-Linkage Cophenetic Matrix</t>
  </si>
  <si>
    <t xml:space="preserve">PalaeoMath 101: Regression 3 (Least Squares and Reduced Major Axis Regression) </t>
  </si>
  <si>
    <t>Conventional Partial Regression Coefficients</t>
  </si>
  <si>
    <t>GL(x2)</t>
  </si>
  <si>
    <t>Placopoaria</t>
  </si>
  <si>
    <t>Toxochasmops</t>
  </si>
  <si>
    <t>Zacanthoides</t>
  </si>
  <si>
    <t>Glabellar</t>
  </si>
  <si>
    <t>Inverse of singular value matrix: W^-1 matrix</t>
  </si>
  <si>
    <t>Dalmanites</t>
  </si>
  <si>
    <t>Delphion</t>
  </si>
  <si>
    <t>Ormathops</t>
  </si>
  <si>
    <t>Phacopdina</t>
  </si>
  <si>
    <t>Eye</t>
  </si>
  <si>
    <t>Spacing (mm)</t>
  </si>
  <si>
    <t>Body</t>
  </si>
  <si>
    <t>PalaeoMath 101: Canonical Correlation Analysis (CCA) and Partial Least-Squares (PLS) Analysis</t>
  </si>
  <si>
    <t>Trilobite Morphological Data</t>
  </si>
  <si>
    <t>Bins</t>
  </si>
  <si>
    <t>Freq.</t>
  </si>
  <si>
    <t>Trilobite Frequency Data (Raw Counts)</t>
  </si>
  <si>
    <t>Trilobite Morphological Data (Log-transformed)</t>
  </si>
  <si>
    <t>D matrix: R-mode X^2 distances</t>
  </si>
  <si>
    <t>H matrix of conditional probabilities</t>
  </si>
  <si>
    <t>Body Length</t>
  </si>
  <si>
    <t>Glab. Length</t>
  </si>
  <si>
    <t>x2 (GW)</t>
  </si>
  <si>
    <t>x3 (ES)</t>
  </si>
  <si>
    <t>Singular value matrix: W matrix</t>
  </si>
  <si>
    <t>Scaled Eigenvector Scores</t>
  </si>
  <si>
    <t xml:space="preserve"> Column/Row Means</t>
  </si>
  <si>
    <t>Initial Configuration Regression (linear least-squares) &amp; Stress Analysis</t>
  </si>
  <si>
    <t>Beginning</t>
  </si>
  <si>
    <t>End</t>
  </si>
  <si>
    <t>Cosine Theta Matrix (3 Taxa)</t>
  </si>
  <si>
    <t>Trilobite Data (Mean Centered)</t>
  </si>
  <si>
    <t>Sepal</t>
  </si>
  <si>
    <t>Trilobite Frequency Data (squar-root transformed)</t>
  </si>
  <si>
    <t>Trilobite Frequency Data (square-root transformed, &amp; standardized)</t>
  </si>
  <si>
    <t>F1'</t>
  </si>
  <si>
    <t>Correlation</t>
  </si>
  <si>
    <t>Coode 2</t>
  </si>
  <si>
    <t>F' represents an ad-hoc estimate of the least-squares regression ANOVA that should be used only as an indication of the significance of the reduced</t>
  </si>
  <si>
    <t>Range</t>
  </si>
  <si>
    <t>Plot Matrix: C-Axes 2 and 3</t>
  </si>
  <si>
    <t>PalaeoMath 101: Principal Coordinate Analysis</t>
  </si>
  <si>
    <t>Minimum</t>
  </si>
  <si>
    <t>PalaeoMath 101: Correspondence Analysis</t>
  </si>
  <si>
    <t>Maximum</t>
  </si>
  <si>
    <t>Matrix of Row and Column-Standardized Squared Euclidean Distances Between Trilobite Taxa</t>
  </si>
  <si>
    <t>Reciprocal of Square Root of Q-Mode Conditional Probabilities Matrix (Bc^-1/2)</t>
  </si>
  <si>
    <t>PalaeoMath 101: Regression 5 (Multiple Regression Analysis)</t>
  </si>
  <si>
    <t>Total SSCP Matrix</t>
  </si>
  <si>
    <t>Calculations</t>
  </si>
  <si>
    <t>Total SSCP</t>
  </si>
  <si>
    <t>PL</t>
  </si>
  <si>
    <t>PW</t>
  </si>
  <si>
    <t>SL</t>
  </si>
  <si>
    <t>SW</t>
  </si>
  <si>
    <t xml:space="preserve">Cophenetic Correlation = </t>
  </si>
  <si>
    <t>Actual</t>
  </si>
  <si>
    <t>Distances</t>
  </si>
  <si>
    <r>
      <t>Iris versicolor</t>
    </r>
    <r>
      <rPr>
        <sz val="10"/>
        <rFont val="Arial"/>
      </rPr>
      <t xml:space="preserve"> data: </t>
    </r>
    <r>
      <rPr>
        <i/>
        <sz val="10"/>
        <rFont val="Arial"/>
      </rPr>
      <t>Iris versicolor</t>
    </r>
    <r>
      <rPr>
        <sz val="10"/>
        <rFont val="Arial"/>
      </rPr>
      <t xml:space="preserve"> mean</t>
    </r>
  </si>
  <si>
    <r>
      <t>Iris versicolor</t>
    </r>
    <r>
      <rPr>
        <sz val="10"/>
        <rFont val="Arial"/>
      </rPr>
      <t xml:space="preserve"> data: </t>
    </r>
    <r>
      <rPr>
        <i/>
        <sz val="10"/>
        <rFont val="Arial"/>
      </rPr>
      <t>Iris setosa</t>
    </r>
    <r>
      <rPr>
        <sz val="10"/>
        <rFont val="Arial"/>
      </rPr>
      <t xml:space="preserve"> mean</t>
    </r>
  </si>
  <si>
    <t xml:space="preserve"> Blackgang</t>
  </si>
  <si>
    <t xml:space="preserve"> Brightstone</t>
  </si>
  <si>
    <t xml:space="preserve"> Cowes</t>
  </si>
  <si>
    <t xml:space="preserve"> Newport</t>
  </si>
  <si>
    <t xml:space="preserve"> Northwood</t>
  </si>
  <si>
    <t xml:space="preserve"> Ryde</t>
  </si>
  <si>
    <t xml:space="preserve"> Sandown</t>
  </si>
  <si>
    <t xml:space="preserve"> Seaview</t>
  </si>
  <si>
    <t xml:space="preserve"> Shalfleet</t>
  </si>
  <si>
    <t xml:space="preserve"> Shanklin</t>
  </si>
  <si>
    <t xml:space="preserve"> Totland</t>
  </si>
  <si>
    <t xml:space="preserve"> Ventnor</t>
  </si>
  <si>
    <t>Between-groups SSCP Matrix</t>
  </si>
  <si>
    <t>D^2</t>
  </si>
  <si>
    <t>Reduced Major Axis Regression</t>
  </si>
  <si>
    <t>Observed</t>
  </si>
  <si>
    <t>F'</t>
  </si>
  <si>
    <t>rm</t>
  </si>
  <si>
    <t>n1</t>
  </si>
  <si>
    <t>n2</t>
  </si>
  <si>
    <t>Term1</t>
  </si>
  <si>
    <t>r</t>
  </si>
  <si>
    <t>dof (num)</t>
  </si>
  <si>
    <t>dof (denom)</t>
  </si>
  <si>
    <t>Test for Equality of Covariance Matrices</t>
  </si>
  <si>
    <t>Gower Distance Matrix (3 Taxa)</t>
  </si>
  <si>
    <t>Cheirurus-Trimerus</t>
  </si>
  <si>
    <t>Phacops-Rhenops</t>
  </si>
  <si>
    <t>Phacops-Trimerus</t>
  </si>
  <si>
    <t>Rhenops-Trimerus</t>
  </si>
  <si>
    <t>Sorted</t>
  </si>
  <si>
    <t>Unsorted</t>
  </si>
  <si>
    <t>Single-linkage Clustering History Table</t>
  </si>
  <si>
    <t>Cluster</t>
  </si>
  <si>
    <t>Joining</t>
  </si>
  <si>
    <t>⬅</t>
  </si>
  <si>
    <t>Projected Trace of Within-Groups SSQCP PCA</t>
  </si>
  <si>
    <t>Scaled PC-1</t>
  </si>
  <si>
    <t>Scaled PC-2</t>
  </si>
  <si>
    <t>Sq. Root</t>
  </si>
  <si>
    <r>
      <t>Iris</t>
    </r>
    <r>
      <rPr>
        <sz val="10"/>
        <rFont val="Arial"/>
      </rPr>
      <t xml:space="preserve"> Data after Stage 1 Rotation</t>
    </r>
  </si>
  <si>
    <r>
      <t>Iris</t>
    </r>
    <r>
      <rPr>
        <sz val="10"/>
        <rFont val="Arial"/>
      </rPr>
      <t xml:space="preserve"> Data after Intermediate Scaling</t>
    </r>
  </si>
  <si>
    <t>Group Means</t>
  </si>
  <si>
    <t>Posiiton of Group Centroids</t>
  </si>
  <si>
    <t>(SPC-1 x SPC-1)</t>
  </si>
  <si>
    <t>Complete-linkage Clustering History Table</t>
  </si>
  <si>
    <t>Unweighted Pair Group Clustering History Table</t>
  </si>
  <si>
    <t>Eucliden Distance Matrix (Round 1)</t>
  </si>
  <si>
    <t>Eucliden Distance Matrix (Round 3)</t>
  </si>
  <si>
    <t>Pooled Group Means SSQCP Matrix</t>
  </si>
  <si>
    <t>PLS-2</t>
  </si>
  <si>
    <t>PLS-3</t>
  </si>
  <si>
    <t>(SPC-1 x SPC-2)</t>
  </si>
  <si>
    <t>(SPC-2 x SPC-2)</t>
  </si>
  <si>
    <t>Eigenanalysis of Pooled Group Means SSQCP Matrix</t>
  </si>
  <si>
    <t>Composite Correlation Matrix</t>
  </si>
  <si>
    <t>Paral. Shale</t>
  </si>
  <si>
    <t>Mid. Lmstn.</t>
  </si>
  <si>
    <t>Eigenvalues of R12</t>
  </si>
  <si>
    <t>R11</t>
  </si>
  <si>
    <t>R21</t>
  </si>
  <si>
    <t>R12</t>
  </si>
  <si>
    <t>R22</t>
  </si>
  <si>
    <t>Var (%)</t>
  </si>
  <si>
    <t>Cum. Var</t>
  </si>
  <si>
    <t>Eigenvectors (F1)</t>
  </si>
  <si>
    <t>Eigenvectors (F2)</t>
  </si>
  <si>
    <t>PLS-1</t>
  </si>
  <si>
    <t>Reciprocal of Square Root of R-Mode Conditional Probabilities Matrix (Br^-1/2)</t>
  </si>
  <si>
    <t>Facies</t>
  </si>
  <si>
    <t>Intermediate matrix: Br^1/2 . B</t>
  </si>
  <si>
    <t>Y-intercept</t>
  </si>
  <si>
    <t>Est. Body</t>
  </si>
  <si>
    <t>MANOVA Matrix</t>
  </si>
  <si>
    <t>Explained</t>
  </si>
  <si>
    <t>Unexplained</t>
  </si>
  <si>
    <t>df</t>
  </si>
  <si>
    <t>Mean SQ</t>
  </si>
  <si>
    <t>Trilobite Data (2 variable solution)</t>
  </si>
  <si>
    <t>Iris versicolor</t>
  </si>
  <si>
    <t>Iris virginica</t>
  </si>
  <si>
    <t>Trilobite Frequency Data (B Matrix, Joint &amp; Marginal Probabilities</t>
  </si>
  <si>
    <t>Factor Loading Table (Unrotated)</t>
  </si>
  <si>
    <t>Factor Score Table (Varimax rotated)</t>
  </si>
  <si>
    <t>Factor Score Table (Unrotated)</t>
  </si>
  <si>
    <t>dof</t>
  </si>
  <si>
    <t>n</t>
  </si>
  <si>
    <t>Rhenops</t>
  </si>
  <si>
    <t>Sphaerexochus</t>
  </si>
  <si>
    <t>Trimerus</t>
  </si>
  <si>
    <t>Factor Loading Table (Varimax Rotated)</t>
  </si>
  <si>
    <t>Grand Mean</t>
  </si>
  <si>
    <t>Median</t>
  </si>
  <si>
    <t>Absolute Deviation from Median</t>
  </si>
  <si>
    <t>Petal</t>
  </si>
  <si>
    <t>Iris steosa</t>
  </si>
  <si>
    <t>Variance (L)</t>
  </si>
  <si>
    <t>Variance (W)</t>
  </si>
  <si>
    <t>Prob.-scaled R-Mode Correspondence scores)</t>
  </si>
  <si>
    <t>Correspondence Axes</t>
  </si>
  <si>
    <t>-</t>
  </si>
  <si>
    <t>Implied</t>
  </si>
  <si>
    <t>Complete-Linkage Cophenetic Matrix</t>
  </si>
  <si>
    <t>UPGMA Cophenetic Matrix</t>
  </si>
  <si>
    <t>Length (mm)</t>
  </si>
  <si>
    <t>Width (mm)</t>
  </si>
  <si>
    <t>Slope</t>
  </si>
  <si>
    <t>Intercept</t>
  </si>
  <si>
    <t>RMA:</t>
  </si>
  <si>
    <t>Mean</t>
  </si>
  <si>
    <t>Cybantyx</t>
  </si>
  <si>
    <t>Narroia</t>
  </si>
  <si>
    <t>Pricyclopyge</t>
  </si>
  <si>
    <t>Ptychoparia</t>
  </si>
  <si>
    <t>Zachanthoides</t>
  </si>
  <si>
    <t>Std. Deviation</t>
  </si>
  <si>
    <t>S</t>
  </si>
  <si>
    <r>
      <t xml:space="preserve">S </t>
    </r>
    <r>
      <rPr>
        <sz val="10"/>
        <rFont val="Verdana"/>
      </rPr>
      <t>xy</t>
    </r>
  </si>
  <si>
    <t>Length x Width</t>
  </si>
  <si>
    <t>Bembridge</t>
  </si>
  <si>
    <t>Blackgang</t>
  </si>
  <si>
    <t>Brightstone</t>
  </si>
  <si>
    <t>Cowes</t>
  </si>
  <si>
    <t>Newport</t>
  </si>
  <si>
    <t>Northwood</t>
  </si>
  <si>
    <t>Ryde</t>
  </si>
  <si>
    <t>Sandown</t>
  </si>
  <si>
    <t>Seaview</t>
  </si>
  <si>
    <t>Shalfleet</t>
  </si>
  <si>
    <t>Shanklin</t>
  </si>
  <si>
    <t>Totland</t>
  </si>
  <si>
    <t>Ventnor</t>
  </si>
  <si>
    <t xml:space="preserve"> Bembridge</t>
  </si>
  <si>
    <t>Iris setosa - Iris versicolor</t>
  </si>
  <si>
    <t>Iris setosa - Iris virginica</t>
  </si>
  <si>
    <t>Iris versicolor - Iris virginica</t>
  </si>
  <si>
    <t>Sample size (n):</t>
  </si>
  <si>
    <t>No. variables (p):</t>
  </si>
  <si>
    <t>No. Groups (m):</t>
  </si>
  <si>
    <t>Within-groups SSCP Matrix</t>
  </si>
  <si>
    <t>Square Root of R-Mode Conditional Probabilities Matrix (Bc^1/2)</t>
  </si>
  <si>
    <t>Square Root of Q-Mode Conditional Probabilities Matrix (Br^1/2)</t>
  </si>
  <si>
    <t>Difference Vectors</t>
  </si>
  <si>
    <t>I. setosa - I. versicolor</t>
  </si>
  <si>
    <t>I. versicolor - I. virginica</t>
  </si>
  <si>
    <t>Sing. Value-scaled Q-mode eigenvector loadings</t>
  </si>
  <si>
    <t>Scaled R-mode eigenvector loadings (Ar)</t>
  </si>
  <si>
    <t>Hotellings T^2-test</t>
  </si>
  <si>
    <t>I. setosa - I. virginica</t>
  </si>
  <si>
    <t>T^2</t>
  </si>
  <si>
    <t>m</t>
  </si>
  <si>
    <t>Difference Vectors (Transpose)</t>
  </si>
  <si>
    <t>Placoparia</t>
  </si>
  <si>
    <t>Phacopidira</t>
  </si>
  <si>
    <t>H' matrix of conditional probabilities</t>
  </si>
  <si>
    <t>Singular</t>
  </si>
  <si>
    <t>Eigen-</t>
  </si>
  <si>
    <t>value</t>
  </si>
  <si>
    <t>%</t>
  </si>
  <si>
    <t>Variation</t>
  </si>
  <si>
    <t>Trilobite Galbella Data</t>
  </si>
  <si>
    <t>D</t>
  </si>
  <si>
    <t>Length^2</t>
  </si>
  <si>
    <t>Width^2</t>
  </si>
  <si>
    <t>PalaeoMath 101: Groups I</t>
  </si>
  <si>
    <t>Iris setosa</t>
  </si>
  <si>
    <t>Factor Score Table (Varimax Rotated)</t>
  </si>
  <si>
    <t>Mean (L)</t>
  </si>
  <si>
    <t>Mean (W)</t>
  </si>
  <si>
    <r>
      <t>l</t>
    </r>
    <r>
      <rPr>
        <sz val="10"/>
        <rFont val="Verdana"/>
      </rPr>
      <t>1</t>
    </r>
  </si>
  <si>
    <r>
      <t>l</t>
    </r>
    <r>
      <rPr>
        <sz val="10"/>
        <rFont val="Verdana"/>
      </rPr>
      <t>2</t>
    </r>
  </si>
  <si>
    <t>L x W</t>
  </si>
  <si>
    <t>Distance</t>
  </si>
  <si>
    <t>Euclidean</t>
  </si>
  <si>
    <t>Mahalanobis</t>
  </si>
  <si>
    <r>
      <t>Iris setosa</t>
    </r>
    <r>
      <rPr>
        <sz val="10"/>
        <rFont val="Arial"/>
      </rPr>
      <t xml:space="preserve"> data: </t>
    </r>
    <r>
      <rPr>
        <i/>
        <sz val="10"/>
        <rFont val="Arial"/>
      </rPr>
      <t>Iris setosa</t>
    </r>
    <r>
      <rPr>
        <sz val="10"/>
        <rFont val="Arial"/>
      </rPr>
      <t xml:space="preserve"> mean</t>
    </r>
  </si>
  <si>
    <r>
      <t>Iris setosa</t>
    </r>
    <r>
      <rPr>
        <sz val="10"/>
        <rFont val="Arial"/>
      </rPr>
      <t xml:space="preserve"> data: </t>
    </r>
    <r>
      <rPr>
        <i/>
        <sz val="10"/>
        <rFont val="Arial"/>
      </rPr>
      <t>Iris versicolor</t>
    </r>
    <r>
      <rPr>
        <sz val="10"/>
        <rFont val="Arial"/>
      </rPr>
      <t xml:space="preserve"> mean</t>
    </r>
  </si>
  <si>
    <r>
      <t>Iris setosa</t>
    </r>
    <r>
      <rPr>
        <sz val="10"/>
        <rFont val="Arial"/>
      </rPr>
      <t xml:space="preserve"> data: </t>
    </r>
    <r>
      <rPr>
        <i/>
        <sz val="10"/>
        <rFont val="Arial"/>
      </rPr>
      <t>Iris virginica</t>
    </r>
    <r>
      <rPr>
        <sz val="10"/>
        <rFont val="Arial"/>
      </rPr>
      <t xml:space="preserve"> mean</t>
    </r>
  </si>
  <si>
    <t>Phant.</t>
  </si>
  <si>
    <t>Org.</t>
  </si>
  <si>
    <t>Black</t>
  </si>
  <si>
    <t>Shale</t>
  </si>
  <si>
    <t>Lmstn</t>
  </si>
  <si>
    <t>Lmstn.</t>
  </si>
  <si>
    <t>Siltstn.</t>
  </si>
  <si>
    <r>
      <t xml:space="preserve">[Since </t>
    </r>
    <r>
      <rPr>
        <sz val="10"/>
        <rFont val="Symbol"/>
      </rPr>
      <t>c</t>
    </r>
    <r>
      <rPr>
        <sz val="10"/>
        <rFont val="Arial"/>
      </rPr>
      <t>2 &gt; 0.05 null hypothesis is accepted.]</t>
    </r>
  </si>
  <si>
    <r>
      <t>f</t>
    </r>
    <r>
      <rPr>
        <sz val="10"/>
        <rFont val="Arial"/>
      </rPr>
      <t xml:space="preserve"> = [n - 1 - 0.5 (p + m)]ln[|T|/|W|]</t>
    </r>
  </si>
  <si>
    <t>Covariance Matrices</t>
  </si>
  <si>
    <t>Within-Groups SSCP</t>
  </si>
  <si>
    <t>Pooled Sample Covariance Matrix</t>
  </si>
  <si>
    <t>Pooled Sample Covariance Matrix (Inverse)</t>
  </si>
  <si>
    <t>Trilobite Data (3-variable solution)</t>
  </si>
  <si>
    <t>MSq</t>
  </si>
  <si>
    <t>SSq</t>
  </si>
  <si>
    <r>
      <t>Iris versicolor</t>
    </r>
    <r>
      <rPr>
        <sz val="10"/>
        <rFont val="Arial"/>
      </rPr>
      <t xml:space="preserve"> data: </t>
    </r>
    <r>
      <rPr>
        <i/>
        <sz val="10"/>
        <rFont val="Arial"/>
      </rPr>
      <t>Iris virginica</t>
    </r>
    <r>
      <rPr>
        <sz val="10"/>
        <rFont val="Arial"/>
      </rPr>
      <t xml:space="preserve"> mean</t>
    </r>
  </si>
  <si>
    <r>
      <t>Iris virginica</t>
    </r>
    <r>
      <rPr>
        <sz val="10"/>
        <rFont val="Arial"/>
      </rPr>
      <t xml:space="preserve"> data: </t>
    </r>
    <r>
      <rPr>
        <i/>
        <sz val="10"/>
        <rFont val="Arial"/>
      </rPr>
      <t>Iris virginica</t>
    </r>
    <r>
      <rPr>
        <sz val="10"/>
        <rFont val="Arial"/>
      </rPr>
      <t xml:space="preserve"> mean</t>
    </r>
  </si>
  <si>
    <r>
      <t>Iris virginica</t>
    </r>
    <r>
      <rPr>
        <sz val="10"/>
        <rFont val="Arial"/>
      </rPr>
      <t xml:space="preserve"> data: </t>
    </r>
    <r>
      <rPr>
        <i/>
        <sz val="10"/>
        <rFont val="Arial"/>
      </rPr>
      <t>Iris versicolor</t>
    </r>
    <r>
      <rPr>
        <sz val="10"/>
        <rFont val="Arial"/>
      </rPr>
      <t xml:space="preserve"> mean</t>
    </r>
  </si>
  <si>
    <t>Squared Euclidean Distance Matrix (3 Taxa)</t>
  </si>
  <si>
    <t>PCoord-1</t>
  </si>
  <si>
    <t>PCoord-2</t>
  </si>
  <si>
    <t>PCoord-3</t>
  </si>
  <si>
    <t>Eigenvector Matrix</t>
  </si>
  <si>
    <t>major axis and major axis regression.</t>
  </si>
  <si>
    <t>Phacops</t>
  </si>
  <si>
    <t>Matrix of Squared Euclidean Distances Between Trilobite Taxa</t>
  </si>
  <si>
    <t>Reduced Trilobite Data</t>
  </si>
  <si>
    <t>Eucliden Distance Matrix</t>
  </si>
  <si>
    <t>Genera</t>
  </si>
  <si>
    <t>Acaste-Cheirus</t>
  </si>
  <si>
    <t>Acaste-Phacops</t>
  </si>
  <si>
    <t>Acaste-Rhenops</t>
  </si>
  <si>
    <t>Acaste-Trimerus</t>
  </si>
  <si>
    <t>Cheirurus-Phacops</t>
  </si>
  <si>
    <t>Cheirurus-Rhenops</t>
  </si>
  <si>
    <t>PalaeoMath 101: Regression 3 (Testting the Fit of Regression Models)</t>
  </si>
  <si>
    <t>Between-Groups SSQCP Matrix</t>
  </si>
  <si>
    <t>Plot of Mean-Centred Data</t>
  </si>
  <si>
    <t>Pooled Within-Groups SSQCP Matrix</t>
  </si>
  <si>
    <t>Eigenanalysis of Pooled Within-Groups SSQCP Matrix</t>
  </si>
  <si>
    <t>Variance (%)</t>
  </si>
  <si>
    <t>Cum. Var. (%)</t>
  </si>
  <si>
    <t>PC-Coordinates</t>
  </si>
  <si>
    <t>PC-1</t>
  </si>
  <si>
    <t>PC-2</t>
  </si>
  <si>
    <t>Original Variables</t>
  </si>
  <si>
    <t>Project Points into Space of Original Data</t>
  </si>
  <si>
    <t>Total SSQCP Matrix</t>
  </si>
  <si>
    <t>I. setosa</t>
  </si>
  <si>
    <t>I. versicolor</t>
  </si>
  <si>
    <t>I. virginica</t>
  </si>
  <si>
    <t>Deviation from Local Mean</t>
  </si>
  <si>
    <t>Deviation from Grand Mean</t>
  </si>
  <si>
    <t>Test for equality of covariance sturcture</t>
  </si>
  <si>
    <t>Determinant (|T|)</t>
  </si>
  <si>
    <t>Determinant (|W|)</t>
  </si>
  <si>
    <r>
      <t xml:space="preserve"> f</t>
    </r>
    <r>
      <rPr>
        <sz val="10"/>
        <rFont val="Arial"/>
      </rPr>
      <t xml:space="preserve"> =</t>
    </r>
  </si>
  <si>
    <r>
      <t>c</t>
    </r>
    <r>
      <rPr>
        <sz val="10"/>
        <rFont val="Arial"/>
      </rPr>
      <t>2</t>
    </r>
  </si>
  <si>
    <t>(Ax1x2)(X)=(Bx1x2)</t>
  </si>
  <si>
    <t>X=(Ax1x2')(Rx1x2)</t>
  </si>
  <si>
    <t>m'1</t>
  </si>
  <si>
    <t>BL(x1)</t>
  </si>
  <si>
    <t>(PL) x (PL)</t>
  </si>
  <si>
    <t>(PL) x (PW)</t>
  </si>
  <si>
    <t>(PW) x (PW)</t>
  </si>
  <si>
    <t>SSQ</t>
  </si>
  <si>
    <t>Communality</t>
  </si>
  <si>
    <t>Standardized Trilobite Data</t>
  </si>
  <si>
    <t>m'2</t>
  </si>
  <si>
    <t>m1</t>
  </si>
  <si>
    <t>m2</t>
  </si>
  <si>
    <t>b</t>
  </si>
  <si>
    <t>m'3</t>
  </si>
  <si>
    <t>Covariance Matrix</t>
  </si>
  <si>
    <t>Trilobite Data</t>
  </si>
  <si>
    <t>Eigenvalues</t>
  </si>
  <si>
    <t>Sum</t>
  </si>
  <si>
    <t>Value</t>
  </si>
  <si>
    <t>Percent</t>
  </si>
  <si>
    <t>Cum. Percent</t>
  </si>
  <si>
    <t>Eigenvectors</t>
  </si>
  <si>
    <t>Scores</t>
  </si>
  <si>
    <t>Variance</t>
  </si>
  <si>
    <t>Phant. Lmstn.</t>
  </si>
  <si>
    <t>Organic Siltstn.</t>
  </si>
  <si>
    <t>Length</t>
  </si>
  <si>
    <t>Width</t>
  </si>
  <si>
    <t>Glab.</t>
  </si>
  <si>
    <t>Middle</t>
  </si>
  <si>
    <t>Phantom</t>
  </si>
  <si>
    <t>Organic</t>
  </si>
  <si>
    <t>Phantom Lmstn.</t>
  </si>
  <si>
    <t>Org, Siltstn.</t>
  </si>
  <si>
    <t>Black Shale</t>
  </si>
  <si>
    <t>Determination of RMA Slope Sign</t>
  </si>
  <si>
    <t>Least-Squares and Reduced Major Axis</t>
  </si>
  <si>
    <t>Regression</t>
  </si>
  <si>
    <t>Gw(x3)</t>
  </si>
  <si>
    <t>GW(x3)</t>
  </si>
  <si>
    <t>Eigenvalue Table</t>
  </si>
  <si>
    <t>Eigenvalue</t>
  </si>
  <si>
    <t>Cum. Variance</t>
  </si>
  <si>
    <t>Eigenvector Table</t>
  </si>
  <si>
    <t>Covariance (LW)</t>
  </si>
  <si>
    <t>Project B-G Eigenvectors Points into Space of Scaled W-G Eigenvectors</t>
  </si>
  <si>
    <t>Coord 1</t>
  </si>
  <si>
    <t>Coord 2</t>
  </si>
  <si>
    <t>Major Axis Regression (Unstandardized Data)</t>
  </si>
  <si>
    <t>Estimated</t>
  </si>
  <si>
    <t>Total</t>
  </si>
  <si>
    <t>Error</t>
  </si>
  <si>
    <t>SS</t>
  </si>
  <si>
    <t>r2</t>
  </si>
  <si>
    <t>F</t>
  </si>
  <si>
    <t>Residual</t>
  </si>
  <si>
    <t>Least-Squares Regression</t>
  </si>
  <si>
    <t>Major Axis Regression</t>
  </si>
  <si>
    <t>GL (x2)</t>
  </si>
  <si>
    <t>Objects</t>
  </si>
  <si>
    <t>Variables</t>
  </si>
  <si>
    <t>m3</t>
  </si>
  <si>
    <t>MS-Word/L-S</t>
  </si>
  <si>
    <t>Paralic Shale</t>
  </si>
  <si>
    <t>Shoal Lmstn.</t>
  </si>
  <si>
    <t>Upper Lmstn.</t>
  </si>
  <si>
    <t>PalaeoMath 101: Groups II</t>
  </si>
  <si>
    <t>Mean Centred Data</t>
  </si>
  <si>
    <t>Three-dimensional Solutions</t>
  </si>
  <si>
    <t>Deiphon</t>
  </si>
  <si>
    <t>Phacopidina</t>
  </si>
  <si>
    <t>Standardized Data</t>
  </si>
  <si>
    <t>Two-variable Example</t>
  </si>
  <si>
    <t>BL (x1)</t>
  </si>
  <si>
    <t>Trilobite Morphological Data (Log-transformed &amp; Standardized)</t>
  </si>
  <si>
    <t>Pooled Covariance Matrices</t>
  </si>
  <si>
    <t>Pooled Covariance Matrices (Inverse)</t>
  </si>
  <si>
    <t>Plot Matrix: C-Axes 1 and 2</t>
  </si>
  <si>
    <t>Hotelling's T^2 Test for Equivalence of Group Means</t>
  </si>
  <si>
    <t>Eigenanalysis of W^-1.B Matrix</t>
  </si>
  <si>
    <t>CV-1</t>
  </si>
  <si>
    <t>CV-2</t>
  </si>
  <si>
    <t>CV-3</t>
  </si>
  <si>
    <t>CV-4</t>
  </si>
  <si>
    <t>Variable</t>
  </si>
  <si>
    <t>Slope =</t>
  </si>
  <si>
    <t>y-intercept =</t>
  </si>
  <si>
    <t>F1</t>
  </si>
  <si>
    <t>F2</t>
  </si>
  <si>
    <t>Sing. Val.</t>
  </si>
  <si>
    <t>Eigenval.</t>
  </si>
  <si>
    <t>Scaled Eigenvectors (F1)</t>
  </si>
  <si>
    <t>Scaled Eigenvectors (F2)</t>
  </si>
  <si>
    <t>Cybeloides</t>
  </si>
  <si>
    <t>Intermediate Values</t>
  </si>
  <si>
    <t>(HAr)</t>
  </si>
  <si>
    <t>Aq</t>
  </si>
  <si>
    <t>Projected Trace of Between-Groups SSQCP Eigenvectors</t>
  </si>
  <si>
    <t>Final Canonical Variate Plot</t>
  </si>
  <si>
    <t>Modern Algorithm (4 variable analysis)</t>
  </si>
  <si>
    <t>Note: Backcalculation of CV axes projected into the space of the original variables is left as an exercise for the reader.</t>
  </si>
  <si>
    <t>Sepal Length</t>
  </si>
  <si>
    <t>Sepal Width</t>
  </si>
  <si>
    <r>
      <t>Total Covariance Matrix (</t>
    </r>
    <r>
      <rPr>
        <i/>
        <sz val="10"/>
        <rFont val="Arial"/>
      </rPr>
      <t>T</t>
    </r>
    <r>
      <rPr>
        <sz val="10"/>
        <rFont val="Arial"/>
      </rPr>
      <t>)</t>
    </r>
  </si>
  <si>
    <r>
      <t>Pooled Within-Groups Covariance Matrix (</t>
    </r>
    <r>
      <rPr>
        <i/>
        <sz val="10"/>
        <rFont val="Arial"/>
      </rPr>
      <t>W</t>
    </r>
    <r>
      <rPr>
        <sz val="10"/>
        <rFont val="Arial"/>
      </rPr>
      <t>)</t>
    </r>
  </si>
  <si>
    <r>
      <t>Between-Groups Covariance Matrix (</t>
    </r>
    <r>
      <rPr>
        <i/>
        <sz val="10"/>
        <rFont val="Arial"/>
      </rPr>
      <t>B</t>
    </r>
    <r>
      <rPr>
        <sz val="10"/>
        <rFont val="Arial"/>
      </rPr>
      <t>)</t>
    </r>
  </si>
  <si>
    <t>Acaste</t>
  </si>
  <si>
    <t>Balizoma</t>
  </si>
  <si>
    <t>Calymene</t>
  </si>
  <si>
    <t>Ceraurus</t>
  </si>
  <si>
    <t>Cheirurus</t>
  </si>
  <si>
    <t>Prob.-scaled Q-Mode Correspondence scores)</t>
  </si>
  <si>
    <t>Column/Row Means</t>
  </si>
  <si>
    <t>Isle of Wight Matrix of Scalar Products</t>
  </si>
  <si>
    <t>Isle of Wight Principal Coordinates Solution</t>
  </si>
  <si>
    <t>Principal Coordinates</t>
  </si>
  <si>
    <r>
      <t>Isle of Wight Distance Matrix (</t>
    </r>
    <r>
      <rPr>
        <sz val="10"/>
        <rFont val="Symbol"/>
      </rPr>
      <t>d)</t>
    </r>
  </si>
  <si>
    <t>d</t>
  </si>
  <si>
    <t>d-hat</t>
  </si>
  <si>
    <t>d^2</t>
  </si>
  <si>
    <t>(d - d-hat)^2</t>
  </si>
  <si>
    <t xml:space="preserve">Stress 1 = </t>
  </si>
  <si>
    <t>Isle of Wight Principal Coordinates (Scaled by eigenvalues)</t>
  </si>
  <si>
    <r>
      <t>First MDS Iteration Distance Matrix (</t>
    </r>
    <r>
      <rPr>
        <sz val="10"/>
        <rFont val="Symbol"/>
      </rPr>
      <t>d)</t>
    </r>
  </si>
  <si>
    <t>First MDS Iteration Matrix of Scalar Products</t>
  </si>
  <si>
    <t>First MDS Iteration Coordinates Solution</t>
  </si>
  <si>
    <t>First MDS Iteration Coordinates Solution (Scaled by Eigenvalues)</t>
  </si>
  <si>
    <t>Part 1: Example of solving simultaneous equations</t>
  </si>
  <si>
    <t>Matrix A</t>
  </si>
  <si>
    <t>Matrix B</t>
  </si>
  <si>
    <t>Matrix A (Inverse)</t>
  </si>
  <si>
    <t>A (Inverse) * B</t>
  </si>
  <si>
    <t>Ax1x2</t>
  </si>
  <si>
    <t>Bx1x2</t>
  </si>
  <si>
    <t>Ax1x2'</t>
  </si>
  <si>
    <t>Glab. Width</t>
  </si>
  <si>
    <t>Trilobite Frequency Data (X Matrix)</t>
  </si>
  <si>
    <t>Genus</t>
  </si>
  <si>
    <t>Correlation Matrix</t>
  </si>
  <si>
    <t>Standardized Partial Regression Coefficients</t>
  </si>
  <si>
    <t>R2</t>
  </si>
  <si>
    <t>Y (BL)</t>
  </si>
  <si>
    <t>x1 (GL)</t>
  </si>
  <si>
    <t>Ax1x2' * Rx1x2</t>
  </si>
  <si>
    <r>
      <t>Iris virginica</t>
    </r>
    <r>
      <rPr>
        <sz val="10"/>
        <rFont val="Arial"/>
      </rPr>
      <t xml:space="preserve"> data: </t>
    </r>
    <r>
      <rPr>
        <i/>
        <sz val="10"/>
        <rFont val="Arial"/>
      </rPr>
      <t>Iris setosa</t>
    </r>
    <r>
      <rPr>
        <sz val="10"/>
        <rFont val="Arial"/>
      </rPr>
      <t xml:space="preserve"> mean</t>
    </r>
  </si>
  <si>
    <t>Deviation matrix</t>
  </si>
  <si>
    <t>Deviation matrix (transpose)</t>
  </si>
  <si>
    <t>Distances to Group Means: Raw Data</t>
  </si>
  <si>
    <t xml:space="preserve">PalaeoMath 101: Regression 3 (Major Axis Regression) </t>
  </si>
  <si>
    <r>
      <t>Inverse of Pooled Within-Groups Covariance Matrix (</t>
    </r>
    <r>
      <rPr>
        <i/>
        <sz val="10"/>
        <rFont val="Arial"/>
      </rPr>
      <t>W^-1</t>
    </r>
    <r>
      <rPr>
        <sz val="10"/>
        <rFont val="Arial"/>
      </rPr>
      <t>)</t>
    </r>
  </si>
  <si>
    <t>W^-1.B Matrix</t>
  </si>
  <si>
    <t>Singular values and eigenvalues of D matrix</t>
  </si>
  <si>
    <t>Eigenvectors of D matrix</t>
  </si>
  <si>
    <t>PalaeoMath 101: Factor Analysis</t>
  </si>
  <si>
    <t>PalaeoMath 101: Principal Components Analysis</t>
  </si>
  <si>
    <t>Eigenvalue Matrix</t>
  </si>
  <si>
    <t>Princ. Coord.</t>
  </si>
  <si>
    <t>% Contrib.</t>
  </si>
  <si>
    <t>Cum. %</t>
  </si>
  <si>
    <t>Pcoord Score Matrix</t>
  </si>
  <si>
    <t>Paralic</t>
  </si>
  <si>
    <t>Shoal</t>
  </si>
  <si>
    <t>Upper</t>
  </si>
  <si>
    <t>Mid.</t>
  </si>
  <si>
    <t>Two-Variable Analysis</t>
  </si>
  <si>
    <t>Petal Length</t>
  </si>
  <si>
    <t>Petal 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</si>
</sst>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71" formatCode="0.000000"/>
    <numFmt numFmtId="172" formatCode="0.00000"/>
    <numFmt numFmtId="173" formatCode="0.0000"/>
    <numFmt numFmtId="174" formatCode="0.000"/>
    <numFmt numFmtId="175" formatCode="0.0"/>
    <numFmt numFmtId="183" formatCode="0.000000000000000"/>
    <numFmt numFmtId="184" formatCode="0.0E+00;\ꑷ"/>
    <numFmt numFmtId="185" formatCode="0.00E+00;\ꑷ"/>
    <numFmt numFmtId="187" formatCode="_-* #,##0.0_-;\-* #,##0.0_-;_-* &quot;-&quot;??_-;_-@_-"/>
  </numFmts>
  <fonts count="16">
    <font>
      <sz val="10"/>
      <name val="Verdana"/>
    </font>
    <font>
      <i/>
      <sz val="10"/>
      <name val="Verdana"/>
    </font>
    <font>
      <sz val="10"/>
      <name val="Verdana"/>
    </font>
    <font>
      <sz val="10"/>
      <name val="Symbol"/>
    </font>
    <font>
      <sz val="8"/>
      <name val="Verdana"/>
    </font>
    <font>
      <u/>
      <sz val="10"/>
      <name val="Verdana"/>
    </font>
    <font>
      <sz val="9"/>
      <name val="Verdana"/>
    </font>
    <font>
      <sz val="8"/>
      <name val="Arial"/>
    </font>
    <font>
      <b/>
      <sz val="12"/>
      <name val="Verdana"/>
    </font>
    <font>
      <i/>
      <u/>
      <sz val="10"/>
      <name val="Verdana"/>
    </font>
    <font>
      <sz val="10"/>
      <name val="Arial"/>
    </font>
    <font>
      <b/>
      <sz val="12"/>
      <name val="Arial"/>
    </font>
    <font>
      <u/>
      <sz val="10"/>
      <name val="Arial"/>
      <family val="2"/>
    </font>
    <font>
      <i/>
      <sz val="10"/>
      <name val="Arial"/>
    </font>
    <font>
      <b/>
      <sz val="10"/>
      <name val="Arial"/>
    </font>
    <font>
      <sz val="10"/>
      <name val="#PC명조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174" fontId="2" fillId="0" borderId="0"/>
    <xf numFmtId="43" fontId="2" fillId="0" borderId="0" applyFont="0" applyFill="0" applyBorder="0" applyAlignment="0" applyProtection="0"/>
    <xf numFmtId="11" fontId="2" fillId="0" borderId="0"/>
    <xf numFmtId="49" fontId="10" fillId="0" borderId="0">
      <alignment textRotation="90"/>
    </xf>
  </cellStyleXfs>
  <cellXfs count="1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3" xfId="0" applyFont="1" applyBorder="1"/>
    <xf numFmtId="2" fontId="0" fillId="0" borderId="3" xfId="0" applyNumberFormat="1" applyBorder="1" applyAlignment="1">
      <alignment horizontal="right"/>
    </xf>
    <xf numFmtId="2" fontId="0" fillId="0" borderId="0" xfId="0" applyNumberFormat="1"/>
    <xf numFmtId="174" fontId="0" fillId="0" borderId="0" xfId="0" applyNumberFormat="1" applyAlignment="1">
      <alignment horizontal="right"/>
    </xf>
    <xf numFmtId="2" fontId="0" fillId="0" borderId="0" xfId="0" applyNumberFormat="1" applyBorder="1" applyAlignment="1">
      <alignment horizontal="right"/>
    </xf>
    <xf numFmtId="0" fontId="2" fillId="0" borderId="0" xfId="0" applyFont="1"/>
    <xf numFmtId="174" fontId="0" fillId="0" borderId="0" xfId="0" applyNumberFormat="1"/>
    <xf numFmtId="2" fontId="2" fillId="0" borderId="0" xfId="0" applyNumberFormat="1" applyFont="1"/>
    <xf numFmtId="0" fontId="0" fillId="0" borderId="0" xfId="0" applyBorder="1"/>
    <xf numFmtId="0" fontId="3" fillId="0" borderId="0" xfId="0" applyFont="1" applyAlignment="1">
      <alignment horizontal="left"/>
    </xf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3" xfId="0" applyFont="1" applyBorder="1"/>
    <xf numFmtId="2" fontId="0" fillId="0" borderId="0" xfId="0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/>
    <xf numFmtId="2" fontId="2" fillId="0" borderId="0" xfId="0" applyNumberFormat="1" applyFont="1" applyAlignment="1">
      <alignment horizontal="right"/>
    </xf>
    <xf numFmtId="174" fontId="2" fillId="0" borderId="0" xfId="0" applyNumberFormat="1" applyFont="1"/>
    <xf numFmtId="175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174" fontId="0" fillId="0" borderId="0" xfId="0" applyNumberFormat="1" applyAlignment="1">
      <alignment horizontal="left"/>
    </xf>
    <xf numFmtId="174" fontId="2" fillId="0" borderId="0" xfId="0" applyNumberFormat="1" applyFont="1" applyAlignment="1">
      <alignment horizontal="right"/>
    </xf>
    <xf numFmtId="183" fontId="0" fillId="0" borderId="0" xfId="0" applyNumberFormat="1" applyAlignment="1">
      <alignment horizontal="center"/>
    </xf>
    <xf numFmtId="174" fontId="0" fillId="0" borderId="3" xfId="0" applyNumberFormat="1" applyBorder="1" applyAlignment="1">
      <alignment horizontal="center"/>
    </xf>
    <xf numFmtId="171" fontId="0" fillId="0" borderId="3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/>
    <xf numFmtId="0" fontId="0" fillId="0" borderId="1" xfId="0" applyBorder="1" applyAlignment="1">
      <alignment horizontal="left"/>
    </xf>
    <xf numFmtId="2" fontId="5" fillId="0" borderId="0" xfId="0" applyNumberFormat="1" applyFont="1"/>
    <xf numFmtId="0" fontId="1" fillId="0" borderId="0" xfId="0" applyFont="1" applyAlignment="1">
      <alignment horizontal="left"/>
    </xf>
    <xf numFmtId="17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right"/>
    </xf>
    <xf numFmtId="2" fontId="0" fillId="0" borderId="2" xfId="0" applyNumberFormat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4" fontId="0" fillId="0" borderId="0" xfId="0" applyNumberFormat="1"/>
    <xf numFmtId="4" fontId="0" fillId="0" borderId="3" xfId="0" applyNumberFormat="1" applyBorder="1"/>
    <xf numFmtId="0" fontId="1" fillId="0" borderId="3" xfId="0" applyFont="1" applyBorder="1"/>
    <xf numFmtId="2" fontId="0" fillId="0" borderId="3" xfId="0" applyNumberFormat="1" applyBorder="1"/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right" wrapText="1"/>
    </xf>
    <xf numFmtId="0" fontId="10" fillId="0" borderId="3" xfId="0" applyFont="1" applyBorder="1" applyAlignment="1">
      <alignment horizontal="right" vertical="top" wrapText="1"/>
    </xf>
    <xf numFmtId="174" fontId="10" fillId="0" borderId="0" xfId="0" applyNumberFormat="1" applyFont="1" applyBorder="1" applyAlignment="1">
      <alignment horizontal="right" wrapText="1"/>
    </xf>
    <xf numFmtId="174" fontId="10" fillId="0" borderId="3" xfId="0" applyNumberFormat="1" applyFont="1" applyBorder="1" applyAlignment="1">
      <alignment horizontal="right" wrapText="1"/>
    </xf>
    <xf numFmtId="174" fontId="10" fillId="0" borderId="3" xfId="0" applyNumberFormat="1" applyFont="1" applyBorder="1" applyAlignment="1">
      <alignment horizontal="right" vertical="top" wrapText="1"/>
    </xf>
    <xf numFmtId="174" fontId="10" fillId="0" borderId="0" xfId="0" applyNumberFormat="1" applyFont="1" applyBorder="1" applyAlignment="1">
      <alignment horizontal="justify" vertical="top" wrapText="1"/>
    </xf>
    <xf numFmtId="0" fontId="11" fillId="0" borderId="0" xfId="0" applyFont="1"/>
    <xf numFmtId="0" fontId="10" fillId="0" borderId="0" xfId="0" applyFont="1"/>
    <xf numFmtId="0" fontId="10" fillId="0" borderId="2" xfId="0" applyFont="1" applyBorder="1" applyAlignment="1">
      <alignment horizontal="left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2" fillId="0" borderId="3" xfId="0" applyFont="1" applyBorder="1"/>
    <xf numFmtId="0" fontId="13" fillId="0" borderId="3" xfId="0" applyFont="1" applyBorder="1"/>
    <xf numFmtId="0" fontId="10" fillId="0" borderId="0" xfId="0" applyFont="1" applyAlignment="1">
      <alignment horizontal="center"/>
    </xf>
    <xf numFmtId="0" fontId="13" fillId="0" borderId="0" xfId="0" applyFont="1"/>
    <xf numFmtId="174" fontId="10" fillId="0" borderId="0" xfId="0" applyNumberFormat="1" applyFont="1" applyAlignment="1">
      <alignment horizontal="center"/>
    </xf>
    <xf numFmtId="175" fontId="10" fillId="0" borderId="0" xfId="0" applyNumberFormat="1" applyFont="1" applyAlignment="1">
      <alignment horizontal="center"/>
    </xf>
    <xf numFmtId="0" fontId="10" fillId="0" borderId="3" xfId="0" applyFont="1" applyBorder="1"/>
    <xf numFmtId="174" fontId="10" fillId="0" borderId="0" xfId="0" applyNumberFormat="1" applyFont="1"/>
    <xf numFmtId="175" fontId="10" fillId="0" borderId="0" xfId="0" applyNumberFormat="1" applyFont="1"/>
    <xf numFmtId="0" fontId="10" fillId="0" borderId="0" xfId="0" applyFont="1" applyBorder="1" applyAlignment="1">
      <alignment horizontal="center" wrapText="1"/>
    </xf>
    <xf numFmtId="174" fontId="10" fillId="0" borderId="0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5" xfId="0" applyFont="1" applyBorder="1"/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174" fontId="10" fillId="0" borderId="0" xfId="0" applyNumberFormat="1" applyFont="1" applyAlignment="1">
      <alignment horizontal="right"/>
    </xf>
    <xf numFmtId="0" fontId="10" fillId="0" borderId="0" xfId="0" applyFont="1" applyBorder="1"/>
    <xf numFmtId="173" fontId="10" fillId="0" borderId="0" xfId="0" applyNumberFormat="1" applyFont="1"/>
    <xf numFmtId="174" fontId="10" fillId="0" borderId="2" xfId="0" applyNumberFormat="1" applyFont="1" applyBorder="1"/>
    <xf numFmtId="174" fontId="10" fillId="0" borderId="3" xfId="0" applyNumberFormat="1" applyFont="1" applyBorder="1"/>
    <xf numFmtId="174" fontId="10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74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2" fontId="10" fillId="0" borderId="3" xfId="0" applyNumberFormat="1" applyFont="1" applyBorder="1" applyAlignment="1">
      <alignment horizontal="right"/>
    </xf>
    <xf numFmtId="2" fontId="10" fillId="0" borderId="0" xfId="0" applyNumberFormat="1" applyFont="1"/>
    <xf numFmtId="2" fontId="10" fillId="0" borderId="0" xfId="0" applyNumberFormat="1" applyFont="1" applyBorder="1" applyAlignment="1">
      <alignment horizontal="right"/>
    </xf>
    <xf numFmtId="174" fontId="10" fillId="0" borderId="0" xfId="0" applyNumberFormat="1" applyFont="1" applyBorder="1"/>
    <xf numFmtId="174" fontId="10" fillId="2" borderId="0" xfId="0" applyNumberFormat="1" applyFont="1" applyFill="1"/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74" fontId="10" fillId="2" borderId="0" xfId="0" applyNumberFormat="1" applyFont="1" applyFill="1" applyBorder="1"/>
    <xf numFmtId="0" fontId="10" fillId="0" borderId="7" xfId="0" applyFont="1" applyBorder="1"/>
    <xf numFmtId="0" fontId="10" fillId="0" borderId="8" xfId="0" applyFont="1" applyBorder="1"/>
    <xf numFmtId="0" fontId="10" fillId="0" borderId="4" xfId="0" applyFont="1" applyBorder="1" applyAlignment="1">
      <alignment horizontal="center"/>
    </xf>
    <xf numFmtId="174" fontId="10" fillId="0" borderId="4" xfId="0" applyNumberFormat="1" applyFont="1" applyBorder="1" applyAlignment="1">
      <alignment horizontal="center"/>
    </xf>
    <xf numFmtId="174" fontId="10" fillId="0" borderId="0" xfId="0" applyNumberFormat="1" applyFont="1" applyFill="1" applyBorder="1"/>
    <xf numFmtId="0" fontId="10" fillId="0" borderId="6" xfId="0" applyFont="1" applyBorder="1" applyAlignment="1">
      <alignment horizontal="center"/>
    </xf>
    <xf numFmtId="171" fontId="10" fillId="0" borderId="0" xfId="0" applyNumberFormat="1" applyFont="1"/>
    <xf numFmtId="0" fontId="3" fillId="0" borderId="0" xfId="0" applyFont="1" applyBorder="1"/>
    <xf numFmtId="175" fontId="10" fillId="0" borderId="0" xfId="0" applyNumberFormat="1" applyFont="1" applyAlignment="1">
      <alignment horizontal="right"/>
    </xf>
    <xf numFmtId="0" fontId="14" fillId="0" borderId="0" xfId="0" applyFont="1"/>
    <xf numFmtId="175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2" fontId="10" fillId="0" borderId="0" xfId="0" applyNumberFormat="1" applyFont="1" applyBorder="1"/>
    <xf numFmtId="174" fontId="10" fillId="0" borderId="12" xfId="0" applyNumberFormat="1" applyFont="1" applyBorder="1"/>
    <xf numFmtId="2" fontId="10" fillId="0" borderId="12" xfId="0" applyNumberFormat="1" applyFont="1" applyBorder="1"/>
    <xf numFmtId="0" fontId="13" fillId="0" borderId="0" xfId="0" applyFont="1" applyBorder="1" applyAlignment="1">
      <alignment horizontal="center"/>
    </xf>
    <xf numFmtId="185" fontId="10" fillId="0" borderId="0" xfId="0" applyNumberFormat="1" applyFont="1"/>
    <xf numFmtId="184" fontId="10" fillId="0" borderId="0" xfId="0" applyNumberFormat="1" applyFont="1"/>
    <xf numFmtId="174" fontId="10" fillId="0" borderId="0" xfId="0" applyNumberFormat="1" applyFont="1" applyBorder="1" applyAlignment="1">
      <alignment horizontal="right"/>
    </xf>
    <xf numFmtId="1" fontId="10" fillId="0" borderId="0" xfId="0" applyNumberFormat="1" applyFont="1"/>
    <xf numFmtId="0" fontId="13" fillId="0" borderId="0" xfId="0" applyFont="1" applyAlignment="1">
      <alignment horizontal="right"/>
    </xf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11" xfId="0" applyFont="1" applyBorder="1"/>
    <xf numFmtId="0" fontId="1" fillId="0" borderId="8" xfId="0" applyFont="1" applyBorder="1"/>
    <xf numFmtId="17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4" fontId="1" fillId="0" borderId="0" xfId="0" applyNumberFormat="1" applyFont="1" applyAlignment="1">
      <alignment horizontal="left"/>
    </xf>
    <xf numFmtId="174" fontId="0" fillId="0" borderId="3" xfId="0" applyNumberFormat="1" applyBorder="1" applyAlignment="1">
      <alignment horizontal="left"/>
    </xf>
    <xf numFmtId="174" fontId="0" fillId="0" borderId="3" xfId="0" applyNumberFormat="1" applyBorder="1"/>
    <xf numFmtId="17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74" fontId="0" fillId="0" borderId="2" xfId="0" applyNumberFormat="1" applyBorder="1"/>
    <xf numFmtId="0" fontId="0" fillId="0" borderId="15" xfId="0" applyBorder="1"/>
    <xf numFmtId="0" fontId="2" fillId="0" borderId="0" xfId="0" applyFont="1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6" xfId="0" applyBorder="1"/>
    <xf numFmtId="174" fontId="0" fillId="0" borderId="13" xfId="0" applyNumberFormat="1" applyBorder="1" applyAlignment="1">
      <alignment horizontal="center"/>
    </xf>
    <xf numFmtId="0" fontId="15" fillId="0" borderId="12" xfId="0" applyFont="1" applyBorder="1" applyAlignment="1">
      <alignment horizontal="center"/>
    </xf>
    <xf numFmtId="174" fontId="0" fillId="3" borderId="0" xfId="0" applyNumberFormat="1" applyFill="1"/>
    <xf numFmtId="49" fontId="10" fillId="0" borderId="0" xfId="4" applyFont="1">
      <alignment textRotation="90"/>
    </xf>
    <xf numFmtId="175" fontId="10" fillId="0" borderId="0" xfId="0" applyNumberFormat="1" applyFont="1" applyFill="1" applyAlignment="1">
      <alignment horizontal="center"/>
    </xf>
    <xf numFmtId="2" fontId="10" fillId="0" borderId="3" xfId="0" applyNumberFormat="1" applyFont="1" applyBorder="1" applyAlignment="1">
      <alignment horizontal="center"/>
    </xf>
    <xf numFmtId="49" fontId="10" fillId="0" borderId="5" xfId="4" applyFont="1" applyBorder="1" applyAlignment="1">
      <alignment horizontal="center" textRotation="90"/>
    </xf>
    <xf numFmtId="175" fontId="10" fillId="0" borderId="3" xfId="0" applyNumberFormat="1" applyFont="1" applyFill="1" applyBorder="1" applyAlignment="1">
      <alignment horizontal="center"/>
    </xf>
    <xf numFmtId="2" fontId="10" fillId="0" borderId="3" xfId="0" applyNumberFormat="1" applyFont="1" applyBorder="1"/>
    <xf numFmtId="0" fontId="10" fillId="0" borderId="0" xfId="0" applyFont="1" applyBorder="1" applyAlignment="1">
      <alignment horizontal="right"/>
    </xf>
    <xf numFmtId="175" fontId="10" fillId="0" borderId="0" xfId="0" applyNumberFormat="1" applyFont="1" applyBorder="1"/>
    <xf numFmtId="43" fontId="10" fillId="0" borderId="0" xfId="2" applyFont="1"/>
    <xf numFmtId="43" fontId="10" fillId="0" borderId="0" xfId="0" applyNumberFormat="1" applyFont="1"/>
    <xf numFmtId="2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43" fontId="10" fillId="0" borderId="0" xfId="2" applyNumberFormat="1" applyFont="1" applyAlignment="1">
      <alignment horizontal="center"/>
    </xf>
    <xf numFmtId="2" fontId="10" fillId="0" borderId="3" xfId="2" applyNumberFormat="1" applyFont="1" applyBorder="1"/>
    <xf numFmtId="43" fontId="10" fillId="0" borderId="3" xfId="0" applyNumberFormat="1" applyFont="1" applyBorder="1" applyAlignment="1">
      <alignment horizontal="center"/>
    </xf>
    <xf numFmtId="187" fontId="10" fillId="0" borderId="3" xfId="0" applyNumberFormat="1" applyFont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49" fontId="10" fillId="0" borderId="0" xfId="4" applyFont="1" applyAlignment="1">
      <alignment horizontal="center" textRotation="90"/>
    </xf>
    <xf numFmtId="0" fontId="10" fillId="0" borderId="0" xfId="0" applyFont="1" applyFill="1"/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0.000" xfId="1"/>
    <cellStyle name="Comma" xfId="2" builtinId="3"/>
    <cellStyle name="exx" xfId="3"/>
    <cellStyle name="Normal" xfId="0" builtinId="0"/>
    <cellStyle name="Vertical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Initial Configuration</a:t>
            </a:r>
          </a:p>
        </c:rich>
      </c:tx>
      <c:layout>
        <c:manualLayout>
          <c:xMode val="edge"/>
          <c:yMode val="edge"/>
          <c:x val="0.37827784534074593"/>
          <c:y val="3.3163265306122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6768285434746"/>
          <c:y val="0.16326530612244897"/>
          <c:w val="0.79775426789682069"/>
          <c:h val="0.6658163265306122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00D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MDS!$C$64:$C$76</c:f>
              <c:numCache>
                <c:formatCode>0.00</c:formatCode>
                <c:ptCount val="13"/>
                <c:pt idx="0">
                  <c:v>-9.7283269772411458</c:v>
                </c:pt>
                <c:pt idx="1">
                  <c:v>3.6551889237263699</c:v>
                </c:pt>
                <c:pt idx="2">
                  <c:v>8.4425882681691675</c:v>
                </c:pt>
                <c:pt idx="3">
                  <c:v>4.0320813874514627</c:v>
                </c:pt>
                <c:pt idx="4">
                  <c:v>2.5723994405860768</c:v>
                </c:pt>
                <c:pt idx="5">
                  <c:v>4.1485675310207508</c:v>
                </c:pt>
                <c:pt idx="6">
                  <c:v>-4.6108988874237253</c:v>
                </c:pt>
                <c:pt idx="7">
                  <c:v>-8.7293726409870551</c:v>
                </c:pt>
                <c:pt idx="8">
                  <c:v>-8.8225732639076835</c:v>
                </c:pt>
                <c:pt idx="9">
                  <c:v>9.5445208454845627</c:v>
                </c:pt>
                <c:pt idx="10">
                  <c:v>-7.4908097794617818</c:v>
                </c:pt>
                <c:pt idx="11">
                  <c:v>12.777170452419281</c:v>
                </c:pt>
                <c:pt idx="12">
                  <c:v>-4.9643467227877025</c:v>
                </c:pt>
              </c:numCache>
            </c:numRef>
          </c:xVal>
          <c:yVal>
            <c:numRef>
              <c:f>MDS!$D$64:$D$76</c:f>
              <c:numCache>
                <c:formatCode>0.00</c:formatCode>
                <c:ptCount val="13"/>
                <c:pt idx="0">
                  <c:v>1.439711684173016</c:v>
                </c:pt>
                <c:pt idx="1">
                  <c:v>-7.3515529590457911</c:v>
                </c:pt>
                <c:pt idx="2">
                  <c:v>-3.567525882022109</c:v>
                </c:pt>
                <c:pt idx="3">
                  <c:v>6.1930211362151937</c:v>
                </c:pt>
                <c:pt idx="4">
                  <c:v>2.4071638775367008</c:v>
                </c:pt>
                <c:pt idx="5">
                  <c:v>4.8766227539866502</c:v>
                </c:pt>
                <c:pt idx="6">
                  <c:v>3.0444476577311175</c:v>
                </c:pt>
                <c:pt idx="7">
                  <c:v>-2.1726334809331931</c:v>
                </c:pt>
                <c:pt idx="8">
                  <c:v>4.5802370118039946</c:v>
                </c:pt>
                <c:pt idx="9">
                  <c:v>1.3983302182515858</c:v>
                </c:pt>
                <c:pt idx="10">
                  <c:v>-3.8686409320672119</c:v>
                </c:pt>
                <c:pt idx="11">
                  <c:v>-1.5028332099673865</c:v>
                </c:pt>
                <c:pt idx="12">
                  <c:v>-6.4379472901606656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74296"/>
        <c:axId val="557667632"/>
      </c:scatterChart>
      <c:valAx>
        <c:axId val="557674296"/>
        <c:scaling>
          <c:orientation val="minMax"/>
          <c:max val="20"/>
          <c:min val="-20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D1 (</a:t>
                </a:r>
                <a:r>
                  <a:rPr lang="en-GB" sz="875" b="1" i="0" u="none" strike="noStrike" baseline="0">
                    <a:solidFill>
                      <a:srgbClr val="000000"/>
                    </a:solidFill>
                    <a:latin typeface="Symbol"/>
                    <a:cs typeface="Arial"/>
                  </a:rPr>
                  <a:t>l </a:t>
                </a:r>
                <a:r>
                  <a:rPr lang="en-GB" sz="8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= 38.81%)</a:t>
                </a:r>
              </a:p>
            </c:rich>
          </c:tx>
          <c:layout>
            <c:manualLayout>
              <c:xMode val="edge"/>
              <c:yMode val="edge"/>
              <c:x val="0.46067499977140347"/>
              <c:y val="0.905612244897959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67632"/>
        <c:crossesAt val="-10"/>
        <c:crossBetween val="midCat"/>
        <c:majorUnit val="10"/>
        <c:minorUnit val="5"/>
      </c:valAx>
      <c:valAx>
        <c:axId val="557667632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D2 (</a:t>
                </a:r>
                <a:r>
                  <a:rPr lang="en-GB" sz="875" b="1" i="0" u="none" strike="noStrike" baseline="0">
                    <a:solidFill>
                      <a:srgbClr val="000000"/>
                    </a:solidFill>
                    <a:latin typeface="Symbol"/>
                    <a:cs typeface="Arial"/>
                  </a:rPr>
                  <a:t>l</a:t>
                </a:r>
                <a:r>
                  <a:rPr lang="en-GB" sz="8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= 21.90%)</a:t>
                </a:r>
              </a:p>
            </c:rich>
          </c:tx>
          <c:layout>
            <c:manualLayout>
              <c:xMode val="edge"/>
              <c:yMode val="edge"/>
              <c:x val="2.9962601611148193E-2"/>
              <c:y val="0.3801020408163265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74296"/>
        <c:crossesAt val="-20"/>
        <c:crossBetween val="midCat"/>
        <c:majorUnit val="5"/>
        <c:minorUnit val="2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Initial Configuration</a:t>
            </a:r>
          </a:p>
        </c:rich>
      </c:tx>
      <c:layout>
        <c:manualLayout>
          <c:xMode val="edge"/>
          <c:yMode val="edge"/>
          <c:x val="0.37865748709122204"/>
          <c:y val="3.2500039672899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6500020141626148"/>
          <c:w val="0.80895008605851981"/>
          <c:h val="0.662500808716807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D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Mode val="edge"/>
                  <c:yMode val="edge"/>
                  <c:x val="0.74182444061962138"/>
                  <c:y val="0.7500009155284613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MDS!$W$6:$W$83</c:f>
              <c:numCache>
                <c:formatCode>0.0</c:formatCode>
                <c:ptCount val="78"/>
                <c:pt idx="0">
                  <c:v>16.100000000000001</c:v>
                </c:pt>
                <c:pt idx="1">
                  <c:v>17.8</c:v>
                </c:pt>
                <c:pt idx="2">
                  <c:v>14.3</c:v>
                </c:pt>
                <c:pt idx="3">
                  <c:v>10.6</c:v>
                </c:pt>
                <c:pt idx="4">
                  <c:v>14</c:v>
                </c:pt>
                <c:pt idx="5">
                  <c:v>7.7</c:v>
                </c:pt>
                <c:pt idx="6">
                  <c:v>4.8</c:v>
                </c:pt>
                <c:pt idx="7">
                  <c:v>4.0999999999999996</c:v>
                </c:pt>
                <c:pt idx="8">
                  <c:v>17</c:v>
                </c:pt>
                <c:pt idx="9">
                  <c:v>6.7</c:v>
                </c:pt>
                <c:pt idx="10">
                  <c:v>22.9</c:v>
                </c:pt>
                <c:pt idx="11">
                  <c:v>10.3</c:v>
                </c:pt>
                <c:pt idx="12">
                  <c:v>5.9</c:v>
                </c:pt>
                <c:pt idx="13">
                  <c:v>13.7</c:v>
                </c:pt>
                <c:pt idx="14">
                  <c:v>9</c:v>
                </c:pt>
                <c:pt idx="15">
                  <c:v>12.4</c:v>
                </c:pt>
                <c:pt idx="16">
                  <c:v>16.2</c:v>
                </c:pt>
                <c:pt idx="17">
                  <c:v>10.4</c:v>
                </c:pt>
                <c:pt idx="18">
                  <c:v>17.600000000000001</c:v>
                </c:pt>
                <c:pt idx="19">
                  <c:v>11.1</c:v>
                </c:pt>
                <c:pt idx="20">
                  <c:v>9.5</c:v>
                </c:pt>
                <c:pt idx="21">
                  <c:v>12.6</c:v>
                </c:pt>
                <c:pt idx="22">
                  <c:v>6</c:v>
                </c:pt>
                <c:pt idx="23">
                  <c:v>12.2</c:v>
                </c:pt>
                <c:pt idx="24">
                  <c:v>7.1</c:v>
                </c:pt>
                <c:pt idx="25">
                  <c:v>10.199999999999999</c:v>
                </c:pt>
                <c:pt idx="26">
                  <c:v>13.6</c:v>
                </c:pt>
                <c:pt idx="27">
                  <c:v>15.4</c:v>
                </c:pt>
                <c:pt idx="28">
                  <c:v>17.5</c:v>
                </c:pt>
                <c:pt idx="29">
                  <c:v>4.9000000000000004</c:v>
                </c:pt>
                <c:pt idx="30">
                  <c:v>12</c:v>
                </c:pt>
                <c:pt idx="31">
                  <c:v>8.3000000000000007</c:v>
                </c:pt>
                <c:pt idx="32">
                  <c:v>12.1</c:v>
                </c:pt>
                <c:pt idx="33">
                  <c:v>5</c:v>
                </c:pt>
                <c:pt idx="34">
                  <c:v>1.6</c:v>
                </c:pt>
                <c:pt idx="35">
                  <c:v>11.4</c:v>
                </c:pt>
                <c:pt idx="36">
                  <c:v>14</c:v>
                </c:pt>
                <c:pt idx="37">
                  <c:v>9.6</c:v>
                </c:pt>
                <c:pt idx="38">
                  <c:v>7.5</c:v>
                </c:pt>
                <c:pt idx="39">
                  <c:v>14.2</c:v>
                </c:pt>
                <c:pt idx="40">
                  <c:v>14.1</c:v>
                </c:pt>
                <c:pt idx="41">
                  <c:v>14.5</c:v>
                </c:pt>
                <c:pt idx="42">
                  <c:v>3.2</c:v>
                </c:pt>
                <c:pt idx="43">
                  <c:v>6.4</c:v>
                </c:pt>
                <c:pt idx="44">
                  <c:v>8.9</c:v>
                </c:pt>
                <c:pt idx="45">
                  <c:v>10</c:v>
                </c:pt>
                <c:pt idx="46">
                  <c:v>6.1</c:v>
                </c:pt>
                <c:pt idx="47">
                  <c:v>9.1</c:v>
                </c:pt>
                <c:pt idx="48">
                  <c:v>12.4</c:v>
                </c:pt>
                <c:pt idx="49">
                  <c:v>10.5</c:v>
                </c:pt>
                <c:pt idx="50">
                  <c:v>9.6</c:v>
                </c:pt>
                <c:pt idx="51">
                  <c:v>12.3</c:v>
                </c:pt>
                <c:pt idx="52">
                  <c:v>13.2</c:v>
                </c:pt>
                <c:pt idx="53">
                  <c:v>8.1</c:v>
                </c:pt>
                <c:pt idx="54">
                  <c:v>12.4</c:v>
                </c:pt>
                <c:pt idx="55">
                  <c:v>14.3</c:v>
                </c:pt>
                <c:pt idx="56">
                  <c:v>13.8</c:v>
                </c:pt>
                <c:pt idx="57">
                  <c:v>6.4</c:v>
                </c:pt>
                <c:pt idx="58">
                  <c:v>2.2999999999999998</c:v>
                </c:pt>
                <c:pt idx="59">
                  <c:v>12.3</c:v>
                </c:pt>
                <c:pt idx="60">
                  <c:v>8.6</c:v>
                </c:pt>
                <c:pt idx="61">
                  <c:v>18.7</c:v>
                </c:pt>
                <c:pt idx="62">
                  <c:v>11.8</c:v>
                </c:pt>
                <c:pt idx="63">
                  <c:v>6.6</c:v>
                </c:pt>
                <c:pt idx="64">
                  <c:v>15</c:v>
                </c:pt>
                <c:pt idx="65">
                  <c:v>2.2000000000000002</c:v>
                </c:pt>
                <c:pt idx="66">
                  <c:v>21.2</c:v>
                </c:pt>
                <c:pt idx="67">
                  <c:v>5.0999999999999996</c:v>
                </c:pt>
                <c:pt idx="68">
                  <c:v>16.3</c:v>
                </c:pt>
                <c:pt idx="69">
                  <c:v>8.4</c:v>
                </c:pt>
                <c:pt idx="70">
                  <c:v>22.4</c:v>
                </c:pt>
                <c:pt idx="71">
                  <c:v>12</c:v>
                </c:pt>
                <c:pt idx="72">
                  <c:v>15.1</c:v>
                </c:pt>
                <c:pt idx="73">
                  <c:v>6.3</c:v>
                </c:pt>
                <c:pt idx="74">
                  <c:v>16.5</c:v>
                </c:pt>
                <c:pt idx="75">
                  <c:v>21.4</c:v>
                </c:pt>
                <c:pt idx="76">
                  <c:v>3.6</c:v>
                </c:pt>
                <c:pt idx="77">
                  <c:v>18.899999999999999</c:v>
                </c:pt>
              </c:numCache>
            </c:numRef>
          </c:xVal>
          <c:yVal>
            <c:numRef>
              <c:f>MDS!$X$6:$X$83</c:f>
              <c:numCache>
                <c:formatCode>0.00</c:formatCode>
                <c:ptCount val="78"/>
                <c:pt idx="0">
                  <c:v>16.012645999289418</c:v>
                </c:pt>
                <c:pt idx="1">
                  <c:v>18.848198558488306</c:v>
                </c:pt>
                <c:pt idx="2">
                  <c:v>14.558255015968632</c:v>
                </c:pt>
                <c:pt idx="3">
                  <c:v>12.338712823981144</c:v>
                </c:pt>
                <c:pt idx="4">
                  <c:v>14.296172875816684</c:v>
                </c:pt>
                <c:pt idx="5">
                  <c:v>5.363137868755925</c:v>
                </c:pt>
                <c:pt idx="6">
                  <c:v>3.7479257406980535</c:v>
                </c:pt>
                <c:pt idx="7">
                  <c:v>3.2685301165369456</c:v>
                </c:pt>
                <c:pt idx="8">
                  <c:v>19.272892248535634</c:v>
                </c:pt>
                <c:pt idx="9">
                  <c:v>5.7606501984327156</c:v>
                </c:pt>
                <c:pt idx="10">
                  <c:v>22.697047936030884</c:v>
                </c:pt>
                <c:pt idx="11">
                  <c:v>9.2061402759637705</c:v>
                </c:pt>
                <c:pt idx="12">
                  <c:v>6.1022990260081258</c:v>
                </c:pt>
                <c:pt idx="13">
                  <c:v>13.549816801389888</c:v>
                </c:pt>
                <c:pt idx="14">
                  <c:v>9.8186041452641231</c:v>
                </c:pt>
                <c:pt idx="15">
                  <c:v>12.238125008306307</c:v>
                </c:pt>
                <c:pt idx="16">
                  <c:v>13.281755777218239</c:v>
                </c:pt>
                <c:pt idx="17">
                  <c:v>13.423806170790426</c:v>
                </c:pt>
                <c:pt idx="18">
                  <c:v>17.264476856239277</c:v>
                </c:pt>
                <c:pt idx="19">
                  <c:v>10.547259648884713</c:v>
                </c:pt>
                <c:pt idx="20">
                  <c:v>11.677498160100219</c:v>
                </c:pt>
                <c:pt idx="21">
                  <c:v>10.835961872998372</c:v>
                </c:pt>
                <c:pt idx="22">
                  <c:v>8.6678180691420739</c:v>
                </c:pt>
                <c:pt idx="23">
                  <c:v>10.710781906101875</c:v>
                </c:pt>
                <c:pt idx="24">
                  <c:v>8.3759199252654177</c:v>
                </c:pt>
                <c:pt idx="25">
                  <c:v>9.4732391650411323</c:v>
                </c:pt>
                <c:pt idx="26">
                  <c:v>14.632556885644609</c:v>
                </c:pt>
                <c:pt idx="27">
                  <c:v>17.228521883092728</c:v>
                </c:pt>
                <c:pt idx="28">
                  <c:v>19.09114566763126</c:v>
                </c:pt>
                <c:pt idx="29">
                  <c:v>5.0866474434124509</c:v>
                </c:pt>
                <c:pt idx="30">
                  <c:v>15.93624308353802</c:v>
                </c:pt>
                <c:pt idx="31">
                  <c:v>4.801203863829878</c:v>
                </c:pt>
                <c:pt idx="32">
                  <c:v>13.710770398195859</c:v>
                </c:pt>
                <c:pt idx="33">
                  <c:v>4.057509897596475</c:v>
                </c:pt>
                <c:pt idx="34">
                  <c:v>1.3215421757846291</c:v>
                </c:pt>
                <c:pt idx="35">
                  <c:v>9.1986207108074041</c:v>
                </c:pt>
                <c:pt idx="36">
                  <c:v>15.259059148367104</c:v>
                </c:pt>
                <c:pt idx="37">
                  <c:v>12.955432020494806</c:v>
                </c:pt>
                <c:pt idx="38">
                  <c:v>7.3058914430261677</c:v>
                </c:pt>
                <c:pt idx="39">
                  <c:v>15.297518243847275</c:v>
                </c:pt>
                <c:pt idx="40">
                  <c:v>11.649152624627982</c:v>
                </c:pt>
                <c:pt idx="41">
                  <c:v>15.507323499908205</c:v>
                </c:pt>
                <c:pt idx="42">
                  <c:v>2.9295960458366839</c:v>
                </c:pt>
                <c:pt idx="43">
                  <c:v>7.2115120110617097</c:v>
                </c:pt>
                <c:pt idx="44">
                  <c:v>12.19444939423153</c:v>
                </c:pt>
                <c:pt idx="45">
                  <c:v>11.600329727341034</c:v>
                </c:pt>
                <c:pt idx="46">
                  <c:v>7.0447301038968293</c:v>
                </c:pt>
                <c:pt idx="47">
                  <c:v>11.859759939168407</c:v>
                </c:pt>
                <c:pt idx="48">
                  <c:v>10.928194207106758</c:v>
                </c:pt>
                <c:pt idx="49">
                  <c:v>11.620608172555087</c:v>
                </c:pt>
                <c:pt idx="50">
                  <c:v>8.9490288589989166</c:v>
                </c:pt>
                <c:pt idx="51">
                  <c:v>14.681054340181726</c:v>
                </c:pt>
                <c:pt idx="52">
                  <c:v>12.974526505041554</c:v>
                </c:pt>
                <c:pt idx="53">
                  <c:v>6.4198778131692871</c:v>
                </c:pt>
                <c:pt idx="54">
                  <c:v>14.558665499089813</c:v>
                </c:pt>
                <c:pt idx="55">
                  <c:v>10.730808299992875</c:v>
                </c:pt>
                <c:pt idx="56">
                  <c:v>14.528065992456845</c:v>
                </c:pt>
                <c:pt idx="57">
                  <c:v>6.6467858146774166</c:v>
                </c:pt>
                <c:pt idx="58">
                  <c:v>4.4829510362723264</c:v>
                </c:pt>
                <c:pt idx="59">
                  <c:v>14.250810869538899</c:v>
                </c:pt>
                <c:pt idx="60">
                  <c:v>7.4889705965826368</c:v>
                </c:pt>
                <c:pt idx="61">
                  <c:v>17.972832794440762</c:v>
                </c:pt>
                <c:pt idx="62">
                  <c:v>9.4889798882770897</c:v>
                </c:pt>
                <c:pt idx="63">
                  <c:v>6.7535136223889687</c:v>
                </c:pt>
                <c:pt idx="64">
                  <c:v>18.619531811938916</c:v>
                </c:pt>
                <c:pt idx="65">
                  <c:v>2.1001141007697139</c:v>
                </c:pt>
                <c:pt idx="66">
                  <c:v>21.516970702948164</c:v>
                </c:pt>
                <c:pt idx="67">
                  <c:v>5.6893164840690185</c:v>
                </c:pt>
                <c:pt idx="68">
                  <c:v>18.640672650581212</c:v>
                </c:pt>
                <c:pt idx="69">
                  <c:v>8.5531942857003322</c:v>
                </c:pt>
                <c:pt idx="70">
                  <c:v>22.439979321158205</c:v>
                </c:pt>
                <c:pt idx="71">
                  <c:v>11.674172234238414</c:v>
                </c:pt>
                <c:pt idx="72">
                  <c:v>17.830969536161664</c:v>
                </c:pt>
                <c:pt idx="73">
                  <c:v>4.3435898423366872</c:v>
                </c:pt>
                <c:pt idx="74">
                  <c:v>16.489829692950455</c:v>
                </c:pt>
                <c:pt idx="75">
                  <c:v>20.405589157333061</c:v>
                </c:pt>
                <c:pt idx="76">
                  <c:v>3.6033804598568802</c:v>
                </c:pt>
                <c:pt idx="77">
                  <c:v>18.415123748231679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50384"/>
        <c:axId val="557653520"/>
      </c:scatterChart>
      <c:valAx>
        <c:axId val="55765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en-GB"/>
                  <a:t>d</a:t>
                </a:r>
              </a:p>
            </c:rich>
          </c:tx>
          <c:layout>
            <c:manualLayout>
              <c:xMode val="edge"/>
              <c:yMode val="edge"/>
              <c:x val="0.53700516351118766"/>
              <c:y val="0.9025011016859151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53520"/>
        <c:crosses val="autoZero"/>
        <c:crossBetween val="midCat"/>
      </c:valAx>
      <c:valAx>
        <c:axId val="557653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</a:t>
                </a:r>
              </a:p>
            </c:rich>
          </c:tx>
          <c:layout>
            <c:manualLayout>
              <c:xMode val="edge"/>
              <c:yMode val="edge"/>
              <c:x val="2.7538726333907058E-2"/>
              <c:y val="0.4800005859382152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5038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First Iteration</a:t>
            </a:r>
          </a:p>
        </c:rich>
      </c:tx>
      <c:layout>
        <c:manualLayout>
          <c:xMode val="edge"/>
          <c:yMode val="edge"/>
          <c:x val="0.41652323580034423"/>
          <c:y val="3.3163265306122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012048192772"/>
          <c:y val="0.13775510204081631"/>
          <c:w val="0.81411359724612742"/>
          <c:h val="0.693877551020408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00D4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MDS!$AE$63:$AE$75</c:f>
              <c:numCache>
                <c:formatCode>0.00</c:formatCode>
                <c:ptCount val="13"/>
                <c:pt idx="0">
                  <c:v>9.8754712338379615</c:v>
                </c:pt>
                <c:pt idx="1">
                  <c:v>-3.861562199286626</c:v>
                </c:pt>
                <c:pt idx="2">
                  <c:v>-8.5976958569079898</c:v>
                </c:pt>
                <c:pt idx="3">
                  <c:v>-4.0542770728349673</c:v>
                </c:pt>
                <c:pt idx="4">
                  <c:v>-2.5670321980596293</c:v>
                </c:pt>
                <c:pt idx="5">
                  <c:v>-4.1663373423309205</c:v>
                </c:pt>
                <c:pt idx="6">
                  <c:v>5.6799563177718397</c:v>
                </c:pt>
                <c:pt idx="7">
                  <c:v>8.8129862977806219</c:v>
                </c:pt>
                <c:pt idx="8">
                  <c:v>9.0792680187707333</c:v>
                </c:pt>
                <c:pt idx="9">
                  <c:v>-9.6392925610448614</c:v>
                </c:pt>
                <c:pt idx="10">
                  <c:v>7.5141655850571984</c:v>
                </c:pt>
                <c:pt idx="11">
                  <c:v>-12.963379184328421</c:v>
                </c:pt>
                <c:pt idx="12">
                  <c:v>4.8995032610585207</c:v>
                </c:pt>
              </c:numCache>
            </c:numRef>
          </c:xVal>
          <c:yVal>
            <c:numRef>
              <c:f>MDS!$AF$63:$AF$75</c:f>
              <c:numCache>
                <c:formatCode>0.00</c:formatCode>
                <c:ptCount val="13"/>
                <c:pt idx="0">
                  <c:v>-1.2578810608773732</c:v>
                </c:pt>
                <c:pt idx="1">
                  <c:v>7.4876759781842308</c:v>
                </c:pt>
                <c:pt idx="2">
                  <c:v>3.4157022879833847</c:v>
                </c:pt>
                <c:pt idx="3">
                  <c:v>-6.176669920649883</c:v>
                </c:pt>
                <c:pt idx="4">
                  <c:v>-2.4844488791341557</c:v>
                </c:pt>
                <c:pt idx="5">
                  <c:v>-4.9016707610932144</c:v>
                </c:pt>
                <c:pt idx="6">
                  <c:v>-4.214442683803397</c:v>
                </c:pt>
                <c:pt idx="7">
                  <c:v>2.3599560262032044</c:v>
                </c:pt>
                <c:pt idx="8">
                  <c:v>-4.6257613682293579</c:v>
                </c:pt>
                <c:pt idx="9">
                  <c:v>-1.6294016753328233</c:v>
                </c:pt>
                <c:pt idx="10">
                  <c:v>4.1172681766767658</c:v>
                </c:pt>
                <c:pt idx="11">
                  <c:v>1.1968654525587177</c:v>
                </c:pt>
                <c:pt idx="12">
                  <c:v>6.7091051583858352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49992"/>
        <c:axId val="557646072"/>
      </c:scatterChart>
      <c:valAx>
        <c:axId val="557649992"/>
        <c:scaling>
          <c:orientation val="minMax"/>
          <c:max val="20"/>
          <c:min val="-20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D1 (</a:t>
                </a:r>
                <a:r>
                  <a:rPr lang="en-GB" sz="875" b="1" i="0" u="none" strike="noStrike" baseline="0">
                    <a:solidFill>
                      <a:srgbClr val="000000"/>
                    </a:solidFill>
                    <a:latin typeface="Symbol"/>
                    <a:cs typeface="Arial"/>
                  </a:rPr>
                  <a:t>l</a:t>
                </a:r>
                <a:r>
                  <a:rPr lang="en-GB" sz="8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= 39.83%) </a:t>
                </a:r>
              </a:p>
            </c:rich>
          </c:tx>
          <c:layout>
            <c:manualLayout>
              <c:xMode val="edge"/>
              <c:yMode val="edge"/>
              <c:x val="0.46127366609294318"/>
              <c:y val="0.9081632653061224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46072"/>
        <c:crossesAt val="-10"/>
        <c:crossBetween val="midCat"/>
        <c:majorUnit val="10"/>
        <c:minorUnit val="5"/>
      </c:valAx>
      <c:valAx>
        <c:axId val="557646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8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D2 (</a:t>
                </a:r>
                <a:r>
                  <a:rPr lang="en-GB" sz="875" b="1" i="0" u="none" strike="noStrike" baseline="0">
                    <a:solidFill>
                      <a:srgbClr val="000000"/>
                    </a:solidFill>
                    <a:latin typeface="Symbol"/>
                    <a:cs typeface="Arial"/>
                  </a:rPr>
                  <a:t>l</a:t>
                </a:r>
                <a:r>
                  <a:rPr lang="en-GB" sz="87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= 22.76%) </a:t>
                </a:r>
              </a:p>
            </c:rich>
          </c:tx>
          <c:layout>
            <c:manualLayout>
              <c:xMode val="edge"/>
              <c:yMode val="edge"/>
              <c:x val="2.5817555938037865E-2"/>
              <c:y val="0.3698979591836734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49992"/>
        <c:crossesAt val="-20"/>
        <c:crossBetween val="midCat"/>
        <c:majorUnit val="5"/>
        <c:minorUnit val="1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First Iteration</a:t>
            </a:r>
          </a:p>
        </c:rich>
      </c:tx>
      <c:layout>
        <c:manualLayout>
          <c:xMode val="edge"/>
          <c:yMode val="edge"/>
          <c:x val="0.42484694393373751"/>
          <c:y val="3.16623099211405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645044727944"/>
          <c:y val="0.17150417873951129"/>
          <c:w val="0.8404914269880438"/>
          <c:h val="0.6464388275566194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D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Mode val="edge"/>
                  <c:yMode val="edge"/>
                  <c:x val="0.76227050951287922"/>
                  <c:y val="0.7176790248791856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MDS!$AY$6:$AY$83</c:f>
              <c:numCache>
                <c:formatCode>0.0</c:formatCode>
                <c:ptCount val="78"/>
                <c:pt idx="0">
                  <c:v>16.100000000000001</c:v>
                </c:pt>
                <c:pt idx="1">
                  <c:v>17.8</c:v>
                </c:pt>
                <c:pt idx="2">
                  <c:v>14.3</c:v>
                </c:pt>
                <c:pt idx="3">
                  <c:v>10.6</c:v>
                </c:pt>
                <c:pt idx="4">
                  <c:v>14</c:v>
                </c:pt>
                <c:pt idx="5">
                  <c:v>7.7</c:v>
                </c:pt>
                <c:pt idx="6">
                  <c:v>4.8</c:v>
                </c:pt>
                <c:pt idx="7">
                  <c:v>4.0999999999999996</c:v>
                </c:pt>
                <c:pt idx="8">
                  <c:v>17</c:v>
                </c:pt>
                <c:pt idx="9">
                  <c:v>6.7</c:v>
                </c:pt>
                <c:pt idx="10">
                  <c:v>22.9</c:v>
                </c:pt>
                <c:pt idx="11">
                  <c:v>10.3</c:v>
                </c:pt>
                <c:pt idx="12">
                  <c:v>5.9</c:v>
                </c:pt>
                <c:pt idx="13">
                  <c:v>13.7</c:v>
                </c:pt>
                <c:pt idx="14">
                  <c:v>9</c:v>
                </c:pt>
                <c:pt idx="15">
                  <c:v>12.4</c:v>
                </c:pt>
                <c:pt idx="16">
                  <c:v>16.2</c:v>
                </c:pt>
                <c:pt idx="17">
                  <c:v>10.4</c:v>
                </c:pt>
                <c:pt idx="18">
                  <c:v>17.600000000000001</c:v>
                </c:pt>
                <c:pt idx="19">
                  <c:v>11.1</c:v>
                </c:pt>
                <c:pt idx="20">
                  <c:v>9.5</c:v>
                </c:pt>
                <c:pt idx="21">
                  <c:v>12.6</c:v>
                </c:pt>
                <c:pt idx="22">
                  <c:v>6</c:v>
                </c:pt>
                <c:pt idx="23">
                  <c:v>12.2</c:v>
                </c:pt>
                <c:pt idx="24">
                  <c:v>7.1</c:v>
                </c:pt>
                <c:pt idx="25">
                  <c:v>10.199999999999999</c:v>
                </c:pt>
                <c:pt idx="26">
                  <c:v>13.6</c:v>
                </c:pt>
                <c:pt idx="27">
                  <c:v>15.4</c:v>
                </c:pt>
                <c:pt idx="28">
                  <c:v>17.5</c:v>
                </c:pt>
                <c:pt idx="29">
                  <c:v>4.9000000000000004</c:v>
                </c:pt>
                <c:pt idx="30">
                  <c:v>12</c:v>
                </c:pt>
                <c:pt idx="31">
                  <c:v>8.3000000000000007</c:v>
                </c:pt>
                <c:pt idx="32">
                  <c:v>12.1</c:v>
                </c:pt>
                <c:pt idx="33">
                  <c:v>5</c:v>
                </c:pt>
                <c:pt idx="34">
                  <c:v>1.6</c:v>
                </c:pt>
                <c:pt idx="35">
                  <c:v>11.4</c:v>
                </c:pt>
                <c:pt idx="36">
                  <c:v>14</c:v>
                </c:pt>
                <c:pt idx="37">
                  <c:v>9.6</c:v>
                </c:pt>
                <c:pt idx="38">
                  <c:v>7.5</c:v>
                </c:pt>
                <c:pt idx="39">
                  <c:v>14.2</c:v>
                </c:pt>
                <c:pt idx="40">
                  <c:v>14.1</c:v>
                </c:pt>
                <c:pt idx="41">
                  <c:v>14.5</c:v>
                </c:pt>
                <c:pt idx="42">
                  <c:v>3.2</c:v>
                </c:pt>
                <c:pt idx="43">
                  <c:v>6.4</c:v>
                </c:pt>
                <c:pt idx="44">
                  <c:v>8.9</c:v>
                </c:pt>
                <c:pt idx="45">
                  <c:v>10</c:v>
                </c:pt>
                <c:pt idx="46">
                  <c:v>6.1</c:v>
                </c:pt>
                <c:pt idx="47">
                  <c:v>9.1</c:v>
                </c:pt>
                <c:pt idx="48">
                  <c:v>12.4</c:v>
                </c:pt>
                <c:pt idx="49">
                  <c:v>10.5</c:v>
                </c:pt>
                <c:pt idx="50">
                  <c:v>9.6</c:v>
                </c:pt>
                <c:pt idx="51">
                  <c:v>12.3</c:v>
                </c:pt>
                <c:pt idx="52">
                  <c:v>13.2</c:v>
                </c:pt>
                <c:pt idx="53">
                  <c:v>8.1</c:v>
                </c:pt>
                <c:pt idx="54">
                  <c:v>12.4</c:v>
                </c:pt>
                <c:pt idx="55">
                  <c:v>14.3</c:v>
                </c:pt>
                <c:pt idx="56">
                  <c:v>13.8</c:v>
                </c:pt>
                <c:pt idx="57">
                  <c:v>6.4</c:v>
                </c:pt>
                <c:pt idx="58">
                  <c:v>2.2999999999999998</c:v>
                </c:pt>
                <c:pt idx="59">
                  <c:v>12.3</c:v>
                </c:pt>
                <c:pt idx="60">
                  <c:v>8.6</c:v>
                </c:pt>
                <c:pt idx="61">
                  <c:v>18.7</c:v>
                </c:pt>
                <c:pt idx="62">
                  <c:v>11.8</c:v>
                </c:pt>
                <c:pt idx="63">
                  <c:v>6.6</c:v>
                </c:pt>
                <c:pt idx="64">
                  <c:v>15</c:v>
                </c:pt>
                <c:pt idx="65">
                  <c:v>2.2000000000000002</c:v>
                </c:pt>
                <c:pt idx="66">
                  <c:v>21.2</c:v>
                </c:pt>
                <c:pt idx="67">
                  <c:v>5.0999999999999996</c:v>
                </c:pt>
                <c:pt idx="68">
                  <c:v>16.3</c:v>
                </c:pt>
                <c:pt idx="69">
                  <c:v>8.4</c:v>
                </c:pt>
                <c:pt idx="70">
                  <c:v>22.4</c:v>
                </c:pt>
                <c:pt idx="71">
                  <c:v>12</c:v>
                </c:pt>
                <c:pt idx="72">
                  <c:v>15.1</c:v>
                </c:pt>
                <c:pt idx="73">
                  <c:v>6.3</c:v>
                </c:pt>
                <c:pt idx="74">
                  <c:v>16.5</c:v>
                </c:pt>
                <c:pt idx="75">
                  <c:v>21.4</c:v>
                </c:pt>
                <c:pt idx="76">
                  <c:v>3.6</c:v>
                </c:pt>
                <c:pt idx="77">
                  <c:v>18.899999999999999</c:v>
                </c:pt>
              </c:numCache>
            </c:numRef>
          </c:xVal>
          <c:yVal>
            <c:numRef>
              <c:f>MDS!$AZ$6:$AZ$83</c:f>
              <c:numCache>
                <c:formatCode>0.00</c:formatCode>
                <c:ptCount val="78"/>
                <c:pt idx="0">
                  <c:v>16.284681620045959</c:v>
                </c:pt>
                <c:pt idx="1">
                  <c:v>19.055190465628201</c:v>
                </c:pt>
                <c:pt idx="2">
                  <c:v>14.772690064246238</c:v>
                </c:pt>
                <c:pt idx="3">
                  <c:v>12.502814093857692</c:v>
                </c:pt>
                <c:pt idx="4">
                  <c:v>14.506880831838698</c:v>
                </c:pt>
                <c:pt idx="5">
                  <c:v>5.1326018782964535</c:v>
                </c:pt>
                <c:pt idx="6">
                  <c:v>3.770625866882638</c:v>
                </c:pt>
                <c:pt idx="7">
                  <c:v>3.4607163022028677</c:v>
                </c:pt>
                <c:pt idx="8">
                  <c:v>19.518299965341111</c:v>
                </c:pt>
                <c:pt idx="9">
                  <c:v>5.8709448722452482</c:v>
                </c:pt>
                <c:pt idx="10">
                  <c:v>22.970391134427931</c:v>
                </c:pt>
                <c:pt idx="11">
                  <c:v>9.3932489951058269</c:v>
                </c:pt>
                <c:pt idx="12">
                  <c:v>6.2459532304158198</c:v>
                </c:pt>
                <c:pt idx="13">
                  <c:v>13.66570480675883</c:v>
                </c:pt>
                <c:pt idx="14">
                  <c:v>10.055798431453567</c:v>
                </c:pt>
                <c:pt idx="15">
                  <c:v>12.393094872301365</c:v>
                </c:pt>
                <c:pt idx="16">
                  <c:v>15.099011781921647</c:v>
                </c:pt>
                <c:pt idx="17">
                  <c:v>13.672515917359684</c:v>
                </c:pt>
                <c:pt idx="18">
                  <c:v>17.725700298664478</c:v>
                </c:pt>
                <c:pt idx="19">
                  <c:v>10.793668193595863</c:v>
                </c:pt>
                <c:pt idx="20">
                  <c:v>11.864519854252613</c:v>
                </c:pt>
                <c:pt idx="21">
                  <c:v>11.064238315334503</c:v>
                </c:pt>
                <c:pt idx="22">
                  <c:v>8.795592107521486</c:v>
                </c:pt>
                <c:pt idx="23">
                  <c:v>10.613965273941096</c:v>
                </c:pt>
                <c:pt idx="24">
                  <c:v>8.4368648182244073</c:v>
                </c:pt>
                <c:pt idx="25">
                  <c:v>9.4242046201374698</c:v>
                </c:pt>
                <c:pt idx="26">
                  <c:v>16.188590547407848</c:v>
                </c:pt>
                <c:pt idx="27">
                  <c:v>17.4426618742913</c:v>
                </c:pt>
                <c:pt idx="28">
                  <c:v>19.420097569174079</c:v>
                </c:pt>
                <c:pt idx="29">
                  <c:v>5.1515044108238621</c:v>
                </c:pt>
                <c:pt idx="30">
                  <c:v>16.12712850513887</c:v>
                </c:pt>
                <c:pt idx="31">
                  <c:v>4.8971857038052047</c:v>
                </c:pt>
                <c:pt idx="32">
                  <c:v>13.893195690582171</c:v>
                </c:pt>
                <c:pt idx="33">
                  <c:v>3.9805016690056787</c:v>
                </c:pt>
                <c:pt idx="34">
                  <c:v>1.279914200589132</c:v>
                </c:pt>
                <c:pt idx="35">
                  <c:v>9.9300370307379353</c:v>
                </c:pt>
                <c:pt idx="36">
                  <c:v>15.441517062946602</c:v>
                </c:pt>
                <c:pt idx="37">
                  <c:v>13.224799583026252</c:v>
                </c:pt>
                <c:pt idx="38">
                  <c:v>7.2020862601341626</c:v>
                </c:pt>
                <c:pt idx="39">
                  <c:v>15.485284210518454</c:v>
                </c:pt>
                <c:pt idx="40">
                  <c:v>11.564649771306332</c:v>
                </c:pt>
                <c:pt idx="41">
                  <c:v>15.691188025612201</c:v>
                </c:pt>
                <c:pt idx="42">
                  <c:v>2.8984027620595296</c:v>
                </c:pt>
                <c:pt idx="43">
                  <c:v>8.4264878890585297</c:v>
                </c:pt>
                <c:pt idx="44">
                  <c:v>12.368228646516965</c:v>
                </c:pt>
                <c:pt idx="45">
                  <c:v>11.841517129004123</c:v>
                </c:pt>
                <c:pt idx="46">
                  <c:v>7.1237611107181635</c:v>
                </c:pt>
                <c:pt idx="47">
                  <c:v>12.05044467342614</c:v>
                </c:pt>
                <c:pt idx="48">
                  <c:v>11.028876002006168</c:v>
                </c:pt>
                <c:pt idx="49">
                  <c:v>11.843588459713922</c:v>
                </c:pt>
                <c:pt idx="50">
                  <c:v>9.8702472750785351</c:v>
                </c:pt>
                <c:pt idx="51">
                  <c:v>14.872594452641382</c:v>
                </c:pt>
                <c:pt idx="52">
                  <c:v>13.248478681536056</c:v>
                </c:pt>
                <c:pt idx="53">
                  <c:v>6.3765965683639818</c:v>
                </c:pt>
                <c:pt idx="54">
                  <c:v>14.757215462272887</c:v>
                </c:pt>
                <c:pt idx="55">
                  <c:v>10.704208944105996</c:v>
                </c:pt>
                <c:pt idx="56">
                  <c:v>14.730905718876189</c:v>
                </c:pt>
                <c:pt idx="57">
                  <c:v>7.2827601397938606</c:v>
                </c:pt>
                <c:pt idx="58">
                  <c:v>3.424106175442855</c:v>
                </c:pt>
                <c:pt idx="59">
                  <c:v>15.535823867004972</c:v>
                </c:pt>
                <c:pt idx="60">
                  <c:v>8.5312208680140618</c:v>
                </c:pt>
                <c:pt idx="61">
                  <c:v>19.412784818014412</c:v>
                </c:pt>
                <c:pt idx="62">
                  <c:v>10.95139280796421</c:v>
                </c:pt>
                <c:pt idx="63">
                  <c:v>6.9907906183643584</c:v>
                </c:pt>
                <c:pt idx="64">
                  <c:v>18.878600847379097</c:v>
                </c:pt>
                <c:pt idx="65">
                  <c:v>2.1851959266851555</c:v>
                </c:pt>
                <c:pt idx="66">
                  <c:v>21.807404093401185</c:v>
                </c:pt>
                <c:pt idx="67">
                  <c:v>5.8506792471196514</c:v>
                </c:pt>
                <c:pt idx="68">
                  <c:v>18.956863706569223</c:v>
                </c:pt>
                <c:pt idx="69">
                  <c:v>8.882010541038408</c:v>
                </c:pt>
                <c:pt idx="70">
                  <c:v>22.798712218334956</c:v>
                </c:pt>
                <c:pt idx="71">
                  <c:v>12.080961576215472</c:v>
                </c:pt>
                <c:pt idx="72">
                  <c:v>18.090476521033686</c:v>
                </c:pt>
                <c:pt idx="73">
                  <c:v>4.3631797759538848</c:v>
                </c:pt>
                <c:pt idx="74">
                  <c:v>16.760288785482892</c:v>
                </c:pt>
                <c:pt idx="75">
                  <c:v>20.684742972858729</c:v>
                </c:pt>
                <c:pt idx="76">
                  <c:v>3.681586343995336</c:v>
                </c:pt>
                <c:pt idx="77">
                  <c:v>18.694045999521077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46464"/>
        <c:axId val="557648424"/>
      </c:scatterChart>
      <c:valAx>
        <c:axId val="55764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Symbol"/>
                    <a:ea typeface="Symbol"/>
                    <a:cs typeface="Symbol"/>
                  </a:defRPr>
                </a:pPr>
                <a:r>
                  <a:rPr lang="en-GB"/>
                  <a:t>d</a:t>
                </a:r>
              </a:p>
            </c:rich>
          </c:tx>
          <c:layout>
            <c:manualLayout>
              <c:xMode val="edge"/>
              <c:yMode val="edge"/>
              <c:x val="0.52760775708738517"/>
              <c:y val="0.897098781098982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48424"/>
        <c:crosses val="autoZero"/>
        <c:crossBetween val="midCat"/>
      </c:valAx>
      <c:valAx>
        <c:axId val="5576484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</a:t>
                </a:r>
              </a:p>
            </c:rich>
          </c:tx>
          <c:layout>
            <c:manualLayout>
              <c:xMode val="edge"/>
              <c:yMode val="edge"/>
              <c:x val="2.4539895678483033E-2"/>
              <c:y val="0.4775731746438698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4646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77660582489795"/>
          <c:y val="8.7837837837837843E-2"/>
          <c:w val="0.69580538373679202"/>
          <c:h val="0.6858108108108108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00D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III (Cluster Analysis)'!$P$65:$P$74</c:f>
              <c:numCache>
                <c:formatCode>0.000</c:formatCode>
                <c:ptCount val="10"/>
                <c:pt idx="0">
                  <c:v>13.323081475394497</c:v>
                </c:pt>
                <c:pt idx="1">
                  <c:v>6.2878641842838823</c:v>
                </c:pt>
                <c:pt idx="2">
                  <c:v>37.45849569857284</c:v>
                </c:pt>
                <c:pt idx="3">
                  <c:v>71.391379031364849</c:v>
                </c:pt>
                <c:pt idx="4">
                  <c:v>7.2049521858233039</c:v>
                </c:pt>
                <c:pt idx="5">
                  <c:v>26.079282965603173</c:v>
                </c:pt>
                <c:pt idx="6">
                  <c:v>60.070847338788226</c:v>
                </c:pt>
                <c:pt idx="7">
                  <c:v>32.184352347064554</c:v>
                </c:pt>
                <c:pt idx="8">
                  <c:v>66.07363858605035</c:v>
                </c:pt>
                <c:pt idx="9">
                  <c:v>34.784319743240644</c:v>
                </c:pt>
              </c:numCache>
            </c:numRef>
          </c:xVal>
          <c:yVal>
            <c:numRef>
              <c:f>'Groups III (Cluster Analysis)'!$Q$65:$Q$74</c:f>
              <c:numCache>
                <c:formatCode>0.000</c:formatCode>
                <c:ptCount val="10"/>
                <c:pt idx="0">
                  <c:v>7.2049521858233039</c:v>
                </c:pt>
                <c:pt idx="1">
                  <c:v>6.2878641842838823</c:v>
                </c:pt>
                <c:pt idx="2">
                  <c:v>26.079282965603173</c:v>
                </c:pt>
                <c:pt idx="3">
                  <c:v>34.784319743240644</c:v>
                </c:pt>
                <c:pt idx="4">
                  <c:v>7.2049521858233039</c:v>
                </c:pt>
                <c:pt idx="5">
                  <c:v>26.079282965603173</c:v>
                </c:pt>
                <c:pt idx="6">
                  <c:v>34.784319743240644</c:v>
                </c:pt>
                <c:pt idx="7">
                  <c:v>26.079282965603173</c:v>
                </c:pt>
                <c:pt idx="8">
                  <c:v>34.784319743240644</c:v>
                </c:pt>
                <c:pt idx="9">
                  <c:v>34.784319743240644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73120"/>
        <c:axId val="557669984"/>
      </c:scatterChart>
      <c:valAx>
        <c:axId val="55767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Actual Distances</a:t>
                </a:r>
              </a:p>
            </c:rich>
          </c:tx>
          <c:layout>
            <c:manualLayout>
              <c:xMode val="edge"/>
              <c:yMode val="edge"/>
              <c:x val="0.40209858859161351"/>
              <c:y val="0.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69984"/>
        <c:crosses val="autoZero"/>
        <c:crossBetween val="midCat"/>
      </c:valAx>
      <c:valAx>
        <c:axId val="557669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Implied Distances</a:t>
                </a:r>
              </a:p>
            </c:rich>
          </c:tx>
          <c:layout>
            <c:manualLayout>
              <c:xMode val="edge"/>
              <c:yMode val="edge"/>
              <c:x val="5.5944151456224486E-2"/>
              <c:y val="0.25337837837837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7312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6217297893702"/>
          <c:y val="8.7837837837837843E-2"/>
          <c:w val="0.69473922265358634"/>
          <c:h val="0.6858108108108108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00D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III (Cluster Analysis)'!$W$65:$W$74</c:f>
              <c:numCache>
                <c:formatCode>0.000</c:formatCode>
                <c:ptCount val="10"/>
                <c:pt idx="0">
                  <c:v>13.323081475394497</c:v>
                </c:pt>
                <c:pt idx="1">
                  <c:v>6.2878641842838823</c:v>
                </c:pt>
                <c:pt idx="2">
                  <c:v>37.45849569857284</c:v>
                </c:pt>
                <c:pt idx="3">
                  <c:v>71.391379031364849</c:v>
                </c:pt>
                <c:pt idx="4">
                  <c:v>7.2049521858233039</c:v>
                </c:pt>
                <c:pt idx="5">
                  <c:v>26.079282965603173</c:v>
                </c:pt>
                <c:pt idx="6">
                  <c:v>60.070847338788226</c:v>
                </c:pt>
                <c:pt idx="7">
                  <c:v>32.184352347064554</c:v>
                </c:pt>
                <c:pt idx="8">
                  <c:v>66.07363858605035</c:v>
                </c:pt>
                <c:pt idx="9">
                  <c:v>34.784319743240644</c:v>
                </c:pt>
              </c:numCache>
            </c:numRef>
          </c:xVal>
          <c:yVal>
            <c:numRef>
              <c:f>'Groups III (Cluster Analysis)'!$X$65:$X$74</c:f>
              <c:numCache>
                <c:formatCode>0.000</c:formatCode>
                <c:ptCount val="10"/>
                <c:pt idx="0">
                  <c:v>13.323081475394497</c:v>
                </c:pt>
                <c:pt idx="1">
                  <c:v>6.2878641842838823</c:v>
                </c:pt>
                <c:pt idx="2">
                  <c:v>71.391379031364849</c:v>
                </c:pt>
                <c:pt idx="3">
                  <c:v>71.391379031364849</c:v>
                </c:pt>
                <c:pt idx="4">
                  <c:v>13.323081475394497</c:v>
                </c:pt>
                <c:pt idx="5">
                  <c:v>71.391379031364849</c:v>
                </c:pt>
                <c:pt idx="6">
                  <c:v>71.391379031364849</c:v>
                </c:pt>
                <c:pt idx="7">
                  <c:v>71.391379031364849</c:v>
                </c:pt>
                <c:pt idx="8">
                  <c:v>71.391379031364849</c:v>
                </c:pt>
                <c:pt idx="9">
                  <c:v>34.784319743240644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70376"/>
        <c:axId val="557670768"/>
      </c:scatterChart>
      <c:valAx>
        <c:axId val="557670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Actual Distances</a:t>
                </a:r>
              </a:p>
            </c:rich>
          </c:tx>
          <c:layout>
            <c:manualLayout>
              <c:xMode val="edge"/>
              <c:yMode val="edge"/>
              <c:x val="0.40351015457152745"/>
              <c:y val="0.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70768"/>
        <c:crosses val="autoZero"/>
        <c:crossBetween val="midCat"/>
      </c:valAx>
      <c:valAx>
        <c:axId val="557670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Implied Distances</a:t>
                </a:r>
              </a:p>
            </c:rich>
          </c:tx>
          <c:layout>
            <c:manualLayout>
              <c:xMode val="edge"/>
              <c:yMode val="edge"/>
              <c:x val="5.6140543244734255E-2"/>
              <c:y val="0.25337837837837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70376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6217297893702"/>
          <c:y val="8.7837837837837843E-2"/>
          <c:w val="0.69473922265358634"/>
          <c:h val="0.6858108108108108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00D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III (Cluster Analysis)'!$AD$88:$AD$97</c:f>
              <c:numCache>
                <c:formatCode>0.000</c:formatCode>
                <c:ptCount val="10"/>
                <c:pt idx="0">
                  <c:v>13.323081475394497</c:v>
                </c:pt>
                <c:pt idx="1">
                  <c:v>6.2878641842838823</c:v>
                </c:pt>
                <c:pt idx="2">
                  <c:v>37.45849569857284</c:v>
                </c:pt>
                <c:pt idx="3">
                  <c:v>71.391379031364849</c:v>
                </c:pt>
                <c:pt idx="4">
                  <c:v>7.2049521858233039</c:v>
                </c:pt>
                <c:pt idx="5">
                  <c:v>26.079282965603173</c:v>
                </c:pt>
                <c:pt idx="6">
                  <c:v>60.070847338788226</c:v>
                </c:pt>
                <c:pt idx="7">
                  <c:v>32.184352347064554</c:v>
                </c:pt>
                <c:pt idx="8">
                  <c:v>66.07363858605035</c:v>
                </c:pt>
                <c:pt idx="9">
                  <c:v>34.784319743240644</c:v>
                </c:pt>
              </c:numCache>
            </c:numRef>
          </c:xVal>
          <c:yVal>
            <c:numRef>
              <c:f>'Groups III (Cluster Analysis)'!$AE$88:$AE$97</c:f>
              <c:numCache>
                <c:formatCode>0.000</c:formatCode>
                <c:ptCount val="10"/>
                <c:pt idx="0">
                  <c:v>10.264016830608901</c:v>
                </c:pt>
                <c:pt idx="1">
                  <c:v>6.2878641842838823</c:v>
                </c:pt>
                <c:pt idx="2">
                  <c:v>31.907377003746859</c:v>
                </c:pt>
                <c:pt idx="3">
                  <c:v>58.080046174861018</c:v>
                </c:pt>
                <c:pt idx="4">
                  <c:v>10.264016830608901</c:v>
                </c:pt>
                <c:pt idx="5">
                  <c:v>31.907377003746859</c:v>
                </c:pt>
                <c:pt idx="6">
                  <c:v>58.080046174861018</c:v>
                </c:pt>
                <c:pt idx="7">
                  <c:v>31.907377003746859</c:v>
                </c:pt>
                <c:pt idx="8">
                  <c:v>58.080046174861018</c:v>
                </c:pt>
                <c:pt idx="9">
                  <c:v>58.080046174861018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71552"/>
        <c:axId val="557673512"/>
      </c:scatterChart>
      <c:valAx>
        <c:axId val="55767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Actual Distances</a:t>
                </a:r>
              </a:p>
            </c:rich>
          </c:tx>
          <c:layout>
            <c:manualLayout>
              <c:xMode val="edge"/>
              <c:yMode val="edge"/>
              <c:x val="0.40351015457152745"/>
              <c:y val="0.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73512"/>
        <c:crosses val="autoZero"/>
        <c:crossBetween val="midCat"/>
      </c:valAx>
      <c:valAx>
        <c:axId val="557673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Implied Distances</a:t>
                </a:r>
              </a:p>
            </c:rich>
          </c:tx>
          <c:layout>
            <c:manualLayout>
              <c:xMode val="edge"/>
              <c:yMode val="edge"/>
              <c:x val="5.6140543244734255E-2"/>
              <c:y val="0.25337837837837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71552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52945059697924"/>
          <c:y val="5.7906458797327393E-2"/>
          <c:w val="0.6736612071614746"/>
          <c:h val="0.81737193763919824"/>
        </c:manualLayout>
      </c:layout>
      <c:scatterChart>
        <c:scatterStyle val="lineMarker"/>
        <c:varyColors val="0"/>
        <c:ser>
          <c:idx val="0"/>
          <c:order val="0"/>
          <c:tx>
            <c:v>I. setosa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ABEA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II'!$V$6:$V$30</c:f>
              <c:numCache>
                <c:formatCode>0.000</c:formatCode>
                <c:ptCount val="25"/>
                <c:pt idx="0">
                  <c:v>-0.77200000000000024</c:v>
                </c:pt>
                <c:pt idx="1">
                  <c:v>-0.97199999999999953</c:v>
                </c:pt>
                <c:pt idx="2">
                  <c:v>-1.1719999999999997</c:v>
                </c:pt>
                <c:pt idx="3">
                  <c:v>-1.2720000000000002</c:v>
                </c:pt>
                <c:pt idx="4">
                  <c:v>-0.87199999999999989</c:v>
                </c:pt>
                <c:pt idx="5">
                  <c:v>-0.47199999999999953</c:v>
                </c:pt>
                <c:pt idx="6">
                  <c:v>-1.2720000000000002</c:v>
                </c:pt>
                <c:pt idx="7">
                  <c:v>-0.87199999999999989</c:v>
                </c:pt>
                <c:pt idx="8">
                  <c:v>-1.4719999999999995</c:v>
                </c:pt>
                <c:pt idx="9">
                  <c:v>-0.97199999999999953</c:v>
                </c:pt>
                <c:pt idx="10">
                  <c:v>-0.47199999999999953</c:v>
                </c:pt>
                <c:pt idx="11">
                  <c:v>-1.0720000000000001</c:v>
                </c:pt>
                <c:pt idx="12">
                  <c:v>-1.0720000000000001</c:v>
                </c:pt>
                <c:pt idx="13">
                  <c:v>-1.5720000000000001</c:v>
                </c:pt>
                <c:pt idx="14">
                  <c:v>-7.2000000000000064E-2</c:v>
                </c:pt>
                <c:pt idx="15">
                  <c:v>-0.17199999999999971</c:v>
                </c:pt>
                <c:pt idx="16">
                  <c:v>-0.47199999999999953</c:v>
                </c:pt>
                <c:pt idx="17">
                  <c:v>-0.77200000000000024</c:v>
                </c:pt>
                <c:pt idx="18">
                  <c:v>-0.17199999999999971</c:v>
                </c:pt>
                <c:pt idx="19">
                  <c:v>-0.77200000000000024</c:v>
                </c:pt>
                <c:pt idx="20">
                  <c:v>-0.47199999999999953</c:v>
                </c:pt>
                <c:pt idx="21">
                  <c:v>-0.77200000000000024</c:v>
                </c:pt>
                <c:pt idx="22">
                  <c:v>-1.2720000000000002</c:v>
                </c:pt>
                <c:pt idx="23">
                  <c:v>-0.77200000000000024</c:v>
                </c:pt>
                <c:pt idx="24">
                  <c:v>-1.0720000000000001</c:v>
                </c:pt>
              </c:numCache>
            </c:numRef>
          </c:xVal>
          <c:yVal>
            <c:numRef>
              <c:f>'Groups II'!$W$6:$W$30</c:f>
              <c:numCache>
                <c:formatCode>0.000</c:formatCode>
                <c:ptCount val="25"/>
                <c:pt idx="0">
                  <c:v>0.43866666666666676</c:v>
                </c:pt>
                <c:pt idx="1">
                  <c:v>-6.133333333333324E-2</c:v>
                </c:pt>
                <c:pt idx="2">
                  <c:v>0.13866666666666694</c:v>
                </c:pt>
                <c:pt idx="3">
                  <c:v>3.8666666666666849E-2</c:v>
                </c:pt>
                <c:pt idx="4">
                  <c:v>0.53866666666666685</c:v>
                </c:pt>
                <c:pt idx="5">
                  <c:v>0.83866666666666667</c:v>
                </c:pt>
                <c:pt idx="6">
                  <c:v>0.33866666666666667</c:v>
                </c:pt>
                <c:pt idx="7">
                  <c:v>0.33866666666666667</c:v>
                </c:pt>
                <c:pt idx="8">
                  <c:v>-0.16133333333333333</c:v>
                </c:pt>
                <c:pt idx="9">
                  <c:v>3.8666666666666849E-2</c:v>
                </c:pt>
                <c:pt idx="10">
                  <c:v>0.63866666666666694</c:v>
                </c:pt>
                <c:pt idx="11">
                  <c:v>0.33866666666666667</c:v>
                </c:pt>
                <c:pt idx="12">
                  <c:v>-6.133333333333324E-2</c:v>
                </c:pt>
                <c:pt idx="13">
                  <c:v>-6.133333333333324E-2</c:v>
                </c:pt>
                <c:pt idx="14">
                  <c:v>0.93866666666666676</c:v>
                </c:pt>
                <c:pt idx="15">
                  <c:v>1.3386666666666671</c:v>
                </c:pt>
                <c:pt idx="16">
                  <c:v>0.83866666666666667</c:v>
                </c:pt>
                <c:pt idx="17">
                  <c:v>0.43866666666666676</c:v>
                </c:pt>
                <c:pt idx="18">
                  <c:v>0.73866666666666658</c:v>
                </c:pt>
                <c:pt idx="19">
                  <c:v>0.73866666666666658</c:v>
                </c:pt>
                <c:pt idx="20">
                  <c:v>0.33866666666666667</c:v>
                </c:pt>
                <c:pt idx="21">
                  <c:v>0.63866666666666694</c:v>
                </c:pt>
                <c:pt idx="22">
                  <c:v>0.53866666666666685</c:v>
                </c:pt>
                <c:pt idx="23">
                  <c:v>0.23866666666666658</c:v>
                </c:pt>
                <c:pt idx="24">
                  <c:v>0.33866666666666667</c:v>
                </c:pt>
              </c:numCache>
            </c:numRef>
          </c:yVal>
          <c:smooth val="0"/>
        </c:ser>
        <c:ser>
          <c:idx val="1"/>
          <c:order val="1"/>
          <c:tx>
            <c:v>I. versicolor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II'!$V$31:$V$55</c:f>
              <c:numCache>
                <c:formatCode>0.000</c:formatCode>
                <c:ptCount val="25"/>
                <c:pt idx="0">
                  <c:v>1.1280000000000001</c:v>
                </c:pt>
                <c:pt idx="1">
                  <c:v>0.52800000000000047</c:v>
                </c:pt>
                <c:pt idx="2">
                  <c:v>1.0280000000000005</c:v>
                </c:pt>
                <c:pt idx="3">
                  <c:v>-0.37199999999999989</c:v>
                </c:pt>
                <c:pt idx="4">
                  <c:v>0.62800000000000011</c:v>
                </c:pt>
                <c:pt idx="5">
                  <c:v>-0.17199999999999971</c:v>
                </c:pt>
                <c:pt idx="6">
                  <c:v>0.42799999999999994</c:v>
                </c:pt>
                <c:pt idx="7">
                  <c:v>-0.97199999999999953</c:v>
                </c:pt>
                <c:pt idx="8">
                  <c:v>0.72799999999999976</c:v>
                </c:pt>
                <c:pt idx="9">
                  <c:v>-0.67199999999999971</c:v>
                </c:pt>
                <c:pt idx="10">
                  <c:v>-0.87199999999999989</c:v>
                </c:pt>
                <c:pt idx="11">
                  <c:v>2.8000000000000469E-2</c:v>
                </c:pt>
                <c:pt idx="12">
                  <c:v>0.12800000000000011</c:v>
                </c:pt>
                <c:pt idx="13">
                  <c:v>0.22799999999999976</c:v>
                </c:pt>
                <c:pt idx="14">
                  <c:v>-0.27200000000000024</c:v>
                </c:pt>
                <c:pt idx="15">
                  <c:v>0.82800000000000029</c:v>
                </c:pt>
                <c:pt idx="16">
                  <c:v>-0.27200000000000024</c:v>
                </c:pt>
                <c:pt idx="17">
                  <c:v>-7.2000000000000064E-2</c:v>
                </c:pt>
                <c:pt idx="18">
                  <c:v>0.32800000000000029</c:v>
                </c:pt>
                <c:pt idx="19">
                  <c:v>-0.27200000000000024</c:v>
                </c:pt>
                <c:pt idx="20">
                  <c:v>2.8000000000000469E-2</c:v>
                </c:pt>
                <c:pt idx="21">
                  <c:v>0.22799999999999976</c:v>
                </c:pt>
                <c:pt idx="22">
                  <c:v>0.42799999999999994</c:v>
                </c:pt>
                <c:pt idx="23">
                  <c:v>0.22799999999999976</c:v>
                </c:pt>
                <c:pt idx="24">
                  <c:v>0.52800000000000047</c:v>
                </c:pt>
              </c:numCache>
            </c:numRef>
          </c:xVal>
          <c:yVal>
            <c:numRef>
              <c:f>'Groups II'!$W$31:$W$55</c:f>
              <c:numCache>
                <c:formatCode>0.000</c:formatCode>
                <c:ptCount val="25"/>
                <c:pt idx="0">
                  <c:v>0.13866666666666694</c:v>
                </c:pt>
                <c:pt idx="1">
                  <c:v>0.13866666666666694</c:v>
                </c:pt>
                <c:pt idx="2">
                  <c:v>3.8666666666666849E-2</c:v>
                </c:pt>
                <c:pt idx="3">
                  <c:v>-0.76133333333333342</c:v>
                </c:pt>
                <c:pt idx="4">
                  <c:v>-0.26133333333333342</c:v>
                </c:pt>
                <c:pt idx="5">
                  <c:v>-0.26133333333333342</c:v>
                </c:pt>
                <c:pt idx="6">
                  <c:v>0.23866666666666658</c:v>
                </c:pt>
                <c:pt idx="7">
                  <c:v>-0.66133333333333333</c:v>
                </c:pt>
                <c:pt idx="8">
                  <c:v>-0.16133333333333333</c:v>
                </c:pt>
                <c:pt idx="9">
                  <c:v>-0.36133333333333306</c:v>
                </c:pt>
                <c:pt idx="10">
                  <c:v>-1.0613333333333332</c:v>
                </c:pt>
                <c:pt idx="11">
                  <c:v>-6.133333333333324E-2</c:v>
                </c:pt>
                <c:pt idx="12">
                  <c:v>-0.86133333333333306</c:v>
                </c:pt>
                <c:pt idx="13">
                  <c:v>-0.16133333333333333</c:v>
                </c:pt>
                <c:pt idx="14">
                  <c:v>-0.16133333333333333</c:v>
                </c:pt>
                <c:pt idx="15">
                  <c:v>3.8666666666666849E-2</c:v>
                </c:pt>
                <c:pt idx="16">
                  <c:v>-6.133333333333324E-2</c:v>
                </c:pt>
                <c:pt idx="17">
                  <c:v>-0.36133333333333306</c:v>
                </c:pt>
                <c:pt idx="18">
                  <c:v>-0.86133333333333306</c:v>
                </c:pt>
                <c:pt idx="19">
                  <c:v>-0.56133333333333324</c:v>
                </c:pt>
                <c:pt idx="20">
                  <c:v>0.13866666666666694</c:v>
                </c:pt>
                <c:pt idx="21">
                  <c:v>-0.26133333333333342</c:v>
                </c:pt>
                <c:pt idx="22">
                  <c:v>-0.56133333333333324</c:v>
                </c:pt>
                <c:pt idx="23">
                  <c:v>-0.26133333333333342</c:v>
                </c:pt>
                <c:pt idx="24">
                  <c:v>-0.16133333333333333</c:v>
                </c:pt>
              </c:numCache>
            </c:numRef>
          </c:yVal>
          <c:smooth val="0"/>
        </c:ser>
        <c:ser>
          <c:idx val="2"/>
          <c:order val="2"/>
          <c:tx>
            <c:v>I. virginica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II'!$V$56:$V$80</c:f>
              <c:numCache>
                <c:formatCode>0.000</c:formatCode>
                <c:ptCount val="25"/>
                <c:pt idx="0">
                  <c:v>0.42799999999999994</c:v>
                </c:pt>
                <c:pt idx="1">
                  <c:v>-7.2000000000000064E-2</c:v>
                </c:pt>
                <c:pt idx="2">
                  <c:v>1.2279999999999998</c:v>
                </c:pt>
                <c:pt idx="3">
                  <c:v>0.42799999999999994</c:v>
                </c:pt>
                <c:pt idx="4">
                  <c:v>0.62800000000000011</c:v>
                </c:pt>
                <c:pt idx="5">
                  <c:v>1.7279999999999998</c:v>
                </c:pt>
                <c:pt idx="6">
                  <c:v>-0.97199999999999953</c:v>
                </c:pt>
                <c:pt idx="7">
                  <c:v>1.4279999999999999</c:v>
                </c:pt>
                <c:pt idx="8">
                  <c:v>0.82800000000000029</c:v>
                </c:pt>
                <c:pt idx="9">
                  <c:v>1.3280000000000003</c:v>
                </c:pt>
                <c:pt idx="10">
                  <c:v>0.62800000000000011</c:v>
                </c:pt>
                <c:pt idx="11">
                  <c:v>0.52800000000000047</c:v>
                </c:pt>
                <c:pt idx="12">
                  <c:v>0.92799999999999994</c:v>
                </c:pt>
                <c:pt idx="13">
                  <c:v>-0.17199999999999971</c:v>
                </c:pt>
                <c:pt idx="14">
                  <c:v>-7.2000000000000064E-2</c:v>
                </c:pt>
                <c:pt idx="15">
                  <c:v>0.52800000000000047</c:v>
                </c:pt>
                <c:pt idx="16">
                  <c:v>0.62800000000000011</c:v>
                </c:pt>
                <c:pt idx="17">
                  <c:v>1.8280000000000003</c:v>
                </c:pt>
                <c:pt idx="18">
                  <c:v>1.8280000000000003</c:v>
                </c:pt>
                <c:pt idx="19">
                  <c:v>0.12800000000000011</c:v>
                </c:pt>
                <c:pt idx="20">
                  <c:v>1.0280000000000005</c:v>
                </c:pt>
                <c:pt idx="21">
                  <c:v>-0.27200000000000024</c:v>
                </c:pt>
                <c:pt idx="22">
                  <c:v>1.8280000000000003</c:v>
                </c:pt>
                <c:pt idx="23">
                  <c:v>0.42799999999999994</c:v>
                </c:pt>
                <c:pt idx="24">
                  <c:v>0.82800000000000029</c:v>
                </c:pt>
              </c:numCache>
            </c:numRef>
          </c:xVal>
          <c:yVal>
            <c:numRef>
              <c:f>'Groups II'!$W$56:$W$80</c:f>
              <c:numCache>
                <c:formatCode>0.000</c:formatCode>
                <c:ptCount val="25"/>
                <c:pt idx="0">
                  <c:v>0.23866666666666658</c:v>
                </c:pt>
                <c:pt idx="1">
                  <c:v>-0.36133333333333306</c:v>
                </c:pt>
                <c:pt idx="2">
                  <c:v>-6.133333333333324E-2</c:v>
                </c:pt>
                <c:pt idx="3">
                  <c:v>-0.16133333333333333</c:v>
                </c:pt>
                <c:pt idx="4">
                  <c:v>-6.133333333333324E-2</c:v>
                </c:pt>
                <c:pt idx="5">
                  <c:v>-6.133333333333324E-2</c:v>
                </c:pt>
                <c:pt idx="6">
                  <c:v>-0.56133333333333324</c:v>
                </c:pt>
                <c:pt idx="7">
                  <c:v>-0.16133333333333333</c:v>
                </c:pt>
                <c:pt idx="8">
                  <c:v>-0.56133333333333324</c:v>
                </c:pt>
                <c:pt idx="9">
                  <c:v>0.53866666666666685</c:v>
                </c:pt>
                <c:pt idx="10">
                  <c:v>0.13866666666666694</c:v>
                </c:pt>
                <c:pt idx="11">
                  <c:v>-0.36133333333333306</c:v>
                </c:pt>
                <c:pt idx="12">
                  <c:v>-6.133333333333324E-2</c:v>
                </c:pt>
                <c:pt idx="13">
                  <c:v>-0.56133333333333324</c:v>
                </c:pt>
                <c:pt idx="14">
                  <c:v>-0.26133333333333342</c:v>
                </c:pt>
                <c:pt idx="15">
                  <c:v>0.13866666666666694</c:v>
                </c:pt>
                <c:pt idx="16">
                  <c:v>-6.133333333333324E-2</c:v>
                </c:pt>
                <c:pt idx="17">
                  <c:v>0.73866666666666658</c:v>
                </c:pt>
                <c:pt idx="18">
                  <c:v>-0.46133333333333315</c:v>
                </c:pt>
                <c:pt idx="19">
                  <c:v>-0.86133333333333306</c:v>
                </c:pt>
                <c:pt idx="20">
                  <c:v>0.13866666666666694</c:v>
                </c:pt>
                <c:pt idx="21">
                  <c:v>-0.26133333333333342</c:v>
                </c:pt>
                <c:pt idx="22">
                  <c:v>-0.26133333333333342</c:v>
                </c:pt>
                <c:pt idx="23">
                  <c:v>-0.36133333333333306</c:v>
                </c:pt>
                <c:pt idx="24">
                  <c:v>0.23866666666666658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390744"/>
        <c:axId val="556391136"/>
      </c:scatterChart>
      <c:valAx>
        <c:axId val="556390744"/>
        <c:scaling>
          <c:orientation val="minMax"/>
          <c:max val="3"/>
          <c:min val="-3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Petal Length</a:t>
                </a:r>
              </a:p>
            </c:rich>
          </c:tx>
          <c:layout>
            <c:manualLayout>
              <c:xMode val="edge"/>
              <c:yMode val="edge"/>
              <c:x val="0.38927827541856841"/>
              <c:y val="0.9354120267260579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91136"/>
        <c:crossesAt val="-3"/>
        <c:crossBetween val="midCat"/>
        <c:majorUnit val="1"/>
        <c:minorUnit val="1"/>
      </c:valAx>
      <c:valAx>
        <c:axId val="556391136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Petal Width</a:t>
                </a:r>
              </a:p>
            </c:rich>
          </c:tx>
          <c:layout>
            <c:manualLayout>
              <c:xMode val="edge"/>
              <c:yMode val="edge"/>
              <c:x val="1.8648061097895491E-2"/>
              <c:y val="0.3919821826280623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90744"/>
        <c:crossesAt val="-3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538601623055122"/>
          <c:y val="8.0178173719376397E-2"/>
          <c:w val="0.18181859570448106"/>
          <c:h val="0.129175946547884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18448878316393"/>
          <c:y val="5.7777903163852354E-2"/>
          <c:w val="0.66200616897528997"/>
          <c:h val="0.80666841724916938"/>
        </c:manualLayout>
      </c:layout>
      <c:scatterChart>
        <c:scatterStyle val="lineMarker"/>
        <c:varyColors val="0"/>
        <c:ser>
          <c:idx val="0"/>
          <c:order val="0"/>
          <c:tx>
            <c:v>I. setosa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ABEA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II'!$V$6:$V$30</c:f>
              <c:numCache>
                <c:formatCode>0.000</c:formatCode>
                <c:ptCount val="25"/>
                <c:pt idx="0">
                  <c:v>-0.77200000000000024</c:v>
                </c:pt>
                <c:pt idx="1">
                  <c:v>-0.97199999999999953</c:v>
                </c:pt>
                <c:pt idx="2">
                  <c:v>-1.1719999999999997</c:v>
                </c:pt>
                <c:pt idx="3">
                  <c:v>-1.2720000000000002</c:v>
                </c:pt>
                <c:pt idx="4">
                  <c:v>-0.87199999999999989</c:v>
                </c:pt>
                <c:pt idx="5">
                  <c:v>-0.47199999999999953</c:v>
                </c:pt>
                <c:pt idx="6">
                  <c:v>-1.2720000000000002</c:v>
                </c:pt>
                <c:pt idx="7">
                  <c:v>-0.87199999999999989</c:v>
                </c:pt>
                <c:pt idx="8">
                  <c:v>-1.4719999999999995</c:v>
                </c:pt>
                <c:pt idx="9">
                  <c:v>-0.97199999999999953</c:v>
                </c:pt>
                <c:pt idx="10">
                  <c:v>-0.47199999999999953</c:v>
                </c:pt>
                <c:pt idx="11">
                  <c:v>-1.0720000000000001</c:v>
                </c:pt>
                <c:pt idx="12">
                  <c:v>-1.0720000000000001</c:v>
                </c:pt>
                <c:pt idx="13">
                  <c:v>-1.5720000000000001</c:v>
                </c:pt>
                <c:pt idx="14">
                  <c:v>-7.2000000000000064E-2</c:v>
                </c:pt>
                <c:pt idx="15">
                  <c:v>-0.17199999999999971</c:v>
                </c:pt>
                <c:pt idx="16">
                  <c:v>-0.47199999999999953</c:v>
                </c:pt>
                <c:pt idx="17">
                  <c:v>-0.77200000000000024</c:v>
                </c:pt>
                <c:pt idx="18">
                  <c:v>-0.17199999999999971</c:v>
                </c:pt>
                <c:pt idx="19">
                  <c:v>-0.77200000000000024</c:v>
                </c:pt>
                <c:pt idx="20">
                  <c:v>-0.47199999999999953</c:v>
                </c:pt>
                <c:pt idx="21">
                  <c:v>-0.77200000000000024</c:v>
                </c:pt>
                <c:pt idx="22">
                  <c:v>-1.2720000000000002</c:v>
                </c:pt>
                <c:pt idx="23">
                  <c:v>-0.77200000000000024</c:v>
                </c:pt>
                <c:pt idx="24">
                  <c:v>-1.0720000000000001</c:v>
                </c:pt>
              </c:numCache>
            </c:numRef>
          </c:xVal>
          <c:yVal>
            <c:numRef>
              <c:f>'Groups II'!$W$6:$W$30</c:f>
              <c:numCache>
                <c:formatCode>0.000</c:formatCode>
                <c:ptCount val="25"/>
                <c:pt idx="0">
                  <c:v>0.43866666666666676</c:v>
                </c:pt>
                <c:pt idx="1">
                  <c:v>-6.133333333333324E-2</c:v>
                </c:pt>
                <c:pt idx="2">
                  <c:v>0.13866666666666694</c:v>
                </c:pt>
                <c:pt idx="3">
                  <c:v>3.8666666666666849E-2</c:v>
                </c:pt>
                <c:pt idx="4">
                  <c:v>0.53866666666666685</c:v>
                </c:pt>
                <c:pt idx="5">
                  <c:v>0.83866666666666667</c:v>
                </c:pt>
                <c:pt idx="6">
                  <c:v>0.33866666666666667</c:v>
                </c:pt>
                <c:pt idx="7">
                  <c:v>0.33866666666666667</c:v>
                </c:pt>
                <c:pt idx="8">
                  <c:v>-0.16133333333333333</c:v>
                </c:pt>
                <c:pt idx="9">
                  <c:v>3.8666666666666849E-2</c:v>
                </c:pt>
                <c:pt idx="10">
                  <c:v>0.63866666666666694</c:v>
                </c:pt>
                <c:pt idx="11">
                  <c:v>0.33866666666666667</c:v>
                </c:pt>
                <c:pt idx="12">
                  <c:v>-6.133333333333324E-2</c:v>
                </c:pt>
                <c:pt idx="13">
                  <c:v>-6.133333333333324E-2</c:v>
                </c:pt>
                <c:pt idx="14">
                  <c:v>0.93866666666666676</c:v>
                </c:pt>
                <c:pt idx="15">
                  <c:v>1.3386666666666671</c:v>
                </c:pt>
                <c:pt idx="16">
                  <c:v>0.83866666666666667</c:v>
                </c:pt>
                <c:pt idx="17">
                  <c:v>0.43866666666666676</c:v>
                </c:pt>
                <c:pt idx="18">
                  <c:v>0.73866666666666658</c:v>
                </c:pt>
                <c:pt idx="19">
                  <c:v>0.73866666666666658</c:v>
                </c:pt>
                <c:pt idx="20">
                  <c:v>0.33866666666666667</c:v>
                </c:pt>
                <c:pt idx="21">
                  <c:v>0.63866666666666694</c:v>
                </c:pt>
                <c:pt idx="22">
                  <c:v>0.53866666666666685</c:v>
                </c:pt>
                <c:pt idx="23">
                  <c:v>0.23866666666666658</c:v>
                </c:pt>
                <c:pt idx="24">
                  <c:v>0.33866666666666667</c:v>
                </c:pt>
              </c:numCache>
            </c:numRef>
          </c:yVal>
          <c:smooth val="0"/>
        </c:ser>
        <c:ser>
          <c:idx val="1"/>
          <c:order val="1"/>
          <c:tx>
            <c:v>I. versicolor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II'!$V$31:$V$55</c:f>
              <c:numCache>
                <c:formatCode>0.000</c:formatCode>
                <c:ptCount val="25"/>
                <c:pt idx="0">
                  <c:v>1.1280000000000001</c:v>
                </c:pt>
                <c:pt idx="1">
                  <c:v>0.52800000000000047</c:v>
                </c:pt>
                <c:pt idx="2">
                  <c:v>1.0280000000000005</c:v>
                </c:pt>
                <c:pt idx="3">
                  <c:v>-0.37199999999999989</c:v>
                </c:pt>
                <c:pt idx="4">
                  <c:v>0.62800000000000011</c:v>
                </c:pt>
                <c:pt idx="5">
                  <c:v>-0.17199999999999971</c:v>
                </c:pt>
                <c:pt idx="6">
                  <c:v>0.42799999999999994</c:v>
                </c:pt>
                <c:pt idx="7">
                  <c:v>-0.97199999999999953</c:v>
                </c:pt>
                <c:pt idx="8">
                  <c:v>0.72799999999999976</c:v>
                </c:pt>
                <c:pt idx="9">
                  <c:v>-0.67199999999999971</c:v>
                </c:pt>
                <c:pt idx="10">
                  <c:v>-0.87199999999999989</c:v>
                </c:pt>
                <c:pt idx="11">
                  <c:v>2.8000000000000469E-2</c:v>
                </c:pt>
                <c:pt idx="12">
                  <c:v>0.12800000000000011</c:v>
                </c:pt>
                <c:pt idx="13">
                  <c:v>0.22799999999999976</c:v>
                </c:pt>
                <c:pt idx="14">
                  <c:v>-0.27200000000000024</c:v>
                </c:pt>
                <c:pt idx="15">
                  <c:v>0.82800000000000029</c:v>
                </c:pt>
                <c:pt idx="16">
                  <c:v>-0.27200000000000024</c:v>
                </c:pt>
                <c:pt idx="17">
                  <c:v>-7.2000000000000064E-2</c:v>
                </c:pt>
                <c:pt idx="18">
                  <c:v>0.32800000000000029</c:v>
                </c:pt>
                <c:pt idx="19">
                  <c:v>-0.27200000000000024</c:v>
                </c:pt>
                <c:pt idx="20">
                  <c:v>2.8000000000000469E-2</c:v>
                </c:pt>
                <c:pt idx="21">
                  <c:v>0.22799999999999976</c:v>
                </c:pt>
                <c:pt idx="22">
                  <c:v>0.42799999999999994</c:v>
                </c:pt>
                <c:pt idx="23">
                  <c:v>0.22799999999999976</c:v>
                </c:pt>
                <c:pt idx="24">
                  <c:v>0.52800000000000047</c:v>
                </c:pt>
              </c:numCache>
            </c:numRef>
          </c:xVal>
          <c:yVal>
            <c:numRef>
              <c:f>'Groups II'!$W$31:$W$55</c:f>
              <c:numCache>
                <c:formatCode>0.000</c:formatCode>
                <c:ptCount val="25"/>
                <c:pt idx="0">
                  <c:v>0.13866666666666694</c:v>
                </c:pt>
                <c:pt idx="1">
                  <c:v>0.13866666666666694</c:v>
                </c:pt>
                <c:pt idx="2">
                  <c:v>3.8666666666666849E-2</c:v>
                </c:pt>
                <c:pt idx="3">
                  <c:v>-0.76133333333333342</c:v>
                </c:pt>
                <c:pt idx="4">
                  <c:v>-0.26133333333333342</c:v>
                </c:pt>
                <c:pt idx="5">
                  <c:v>-0.26133333333333342</c:v>
                </c:pt>
                <c:pt idx="6">
                  <c:v>0.23866666666666658</c:v>
                </c:pt>
                <c:pt idx="7">
                  <c:v>-0.66133333333333333</c:v>
                </c:pt>
                <c:pt idx="8">
                  <c:v>-0.16133333333333333</c:v>
                </c:pt>
                <c:pt idx="9">
                  <c:v>-0.36133333333333306</c:v>
                </c:pt>
                <c:pt idx="10">
                  <c:v>-1.0613333333333332</c:v>
                </c:pt>
                <c:pt idx="11">
                  <c:v>-6.133333333333324E-2</c:v>
                </c:pt>
                <c:pt idx="12">
                  <c:v>-0.86133333333333306</c:v>
                </c:pt>
                <c:pt idx="13">
                  <c:v>-0.16133333333333333</c:v>
                </c:pt>
                <c:pt idx="14">
                  <c:v>-0.16133333333333333</c:v>
                </c:pt>
                <c:pt idx="15">
                  <c:v>3.8666666666666849E-2</c:v>
                </c:pt>
                <c:pt idx="16">
                  <c:v>-6.133333333333324E-2</c:v>
                </c:pt>
                <c:pt idx="17">
                  <c:v>-0.36133333333333306</c:v>
                </c:pt>
                <c:pt idx="18">
                  <c:v>-0.86133333333333306</c:v>
                </c:pt>
                <c:pt idx="19">
                  <c:v>-0.56133333333333324</c:v>
                </c:pt>
                <c:pt idx="20">
                  <c:v>0.13866666666666694</c:v>
                </c:pt>
                <c:pt idx="21">
                  <c:v>-0.26133333333333342</c:v>
                </c:pt>
                <c:pt idx="22">
                  <c:v>-0.56133333333333324</c:v>
                </c:pt>
                <c:pt idx="23">
                  <c:v>-0.26133333333333342</c:v>
                </c:pt>
                <c:pt idx="24">
                  <c:v>-0.16133333333333333</c:v>
                </c:pt>
              </c:numCache>
            </c:numRef>
          </c:yVal>
          <c:smooth val="0"/>
        </c:ser>
        <c:ser>
          <c:idx val="2"/>
          <c:order val="2"/>
          <c:tx>
            <c:v>I. virginica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II'!$V$56:$V$80</c:f>
              <c:numCache>
                <c:formatCode>0.000</c:formatCode>
                <c:ptCount val="25"/>
                <c:pt idx="0">
                  <c:v>0.42799999999999994</c:v>
                </c:pt>
                <c:pt idx="1">
                  <c:v>-7.2000000000000064E-2</c:v>
                </c:pt>
                <c:pt idx="2">
                  <c:v>1.2279999999999998</c:v>
                </c:pt>
                <c:pt idx="3">
                  <c:v>0.42799999999999994</c:v>
                </c:pt>
                <c:pt idx="4">
                  <c:v>0.62800000000000011</c:v>
                </c:pt>
                <c:pt idx="5">
                  <c:v>1.7279999999999998</c:v>
                </c:pt>
                <c:pt idx="6">
                  <c:v>-0.97199999999999953</c:v>
                </c:pt>
                <c:pt idx="7">
                  <c:v>1.4279999999999999</c:v>
                </c:pt>
                <c:pt idx="8">
                  <c:v>0.82800000000000029</c:v>
                </c:pt>
                <c:pt idx="9">
                  <c:v>1.3280000000000003</c:v>
                </c:pt>
                <c:pt idx="10">
                  <c:v>0.62800000000000011</c:v>
                </c:pt>
                <c:pt idx="11">
                  <c:v>0.52800000000000047</c:v>
                </c:pt>
                <c:pt idx="12">
                  <c:v>0.92799999999999994</c:v>
                </c:pt>
                <c:pt idx="13">
                  <c:v>-0.17199999999999971</c:v>
                </c:pt>
                <c:pt idx="14">
                  <c:v>-7.2000000000000064E-2</c:v>
                </c:pt>
                <c:pt idx="15">
                  <c:v>0.52800000000000047</c:v>
                </c:pt>
                <c:pt idx="16">
                  <c:v>0.62800000000000011</c:v>
                </c:pt>
                <c:pt idx="17">
                  <c:v>1.8280000000000003</c:v>
                </c:pt>
                <c:pt idx="18">
                  <c:v>1.8280000000000003</c:v>
                </c:pt>
                <c:pt idx="19">
                  <c:v>0.12800000000000011</c:v>
                </c:pt>
                <c:pt idx="20">
                  <c:v>1.0280000000000005</c:v>
                </c:pt>
                <c:pt idx="21">
                  <c:v>-0.27200000000000024</c:v>
                </c:pt>
                <c:pt idx="22">
                  <c:v>1.8280000000000003</c:v>
                </c:pt>
                <c:pt idx="23">
                  <c:v>0.42799999999999994</c:v>
                </c:pt>
                <c:pt idx="24">
                  <c:v>0.82800000000000029</c:v>
                </c:pt>
              </c:numCache>
            </c:numRef>
          </c:xVal>
          <c:yVal>
            <c:numRef>
              <c:f>'Groups II'!$W$56:$W$80</c:f>
              <c:numCache>
                <c:formatCode>0.000</c:formatCode>
                <c:ptCount val="25"/>
                <c:pt idx="0">
                  <c:v>0.23866666666666658</c:v>
                </c:pt>
                <c:pt idx="1">
                  <c:v>-0.36133333333333306</c:v>
                </c:pt>
                <c:pt idx="2">
                  <c:v>-6.133333333333324E-2</c:v>
                </c:pt>
                <c:pt idx="3">
                  <c:v>-0.16133333333333333</c:v>
                </c:pt>
                <c:pt idx="4">
                  <c:v>-6.133333333333324E-2</c:v>
                </c:pt>
                <c:pt idx="5">
                  <c:v>-6.133333333333324E-2</c:v>
                </c:pt>
                <c:pt idx="6">
                  <c:v>-0.56133333333333324</c:v>
                </c:pt>
                <c:pt idx="7">
                  <c:v>-0.16133333333333333</c:v>
                </c:pt>
                <c:pt idx="8">
                  <c:v>-0.56133333333333324</c:v>
                </c:pt>
                <c:pt idx="9">
                  <c:v>0.53866666666666685</c:v>
                </c:pt>
                <c:pt idx="10">
                  <c:v>0.13866666666666694</c:v>
                </c:pt>
                <c:pt idx="11">
                  <c:v>-0.36133333333333306</c:v>
                </c:pt>
                <c:pt idx="12">
                  <c:v>-6.133333333333324E-2</c:v>
                </c:pt>
                <c:pt idx="13">
                  <c:v>-0.56133333333333324</c:v>
                </c:pt>
                <c:pt idx="14">
                  <c:v>-0.26133333333333342</c:v>
                </c:pt>
                <c:pt idx="15">
                  <c:v>0.13866666666666694</c:v>
                </c:pt>
                <c:pt idx="16">
                  <c:v>-6.133333333333324E-2</c:v>
                </c:pt>
                <c:pt idx="17">
                  <c:v>0.73866666666666658</c:v>
                </c:pt>
                <c:pt idx="18">
                  <c:v>-0.46133333333333315</c:v>
                </c:pt>
                <c:pt idx="19">
                  <c:v>-0.86133333333333306</c:v>
                </c:pt>
                <c:pt idx="20">
                  <c:v>0.13866666666666694</c:v>
                </c:pt>
                <c:pt idx="21">
                  <c:v>-0.26133333333333342</c:v>
                </c:pt>
                <c:pt idx="22">
                  <c:v>-0.26133333333333342</c:v>
                </c:pt>
                <c:pt idx="23">
                  <c:v>-0.36133333333333306</c:v>
                </c:pt>
                <c:pt idx="24">
                  <c:v>0.23866666666666658</c:v>
                </c:pt>
              </c:numCache>
            </c:numRef>
          </c:yVal>
          <c:smooth val="0"/>
        </c:ser>
        <c:ser>
          <c:idx val="3"/>
          <c:order val="3"/>
          <c:tx>
            <c:v>WG-Eigenvector Axes</c:v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II'!$AJ$49:$AJ$52</c:f>
              <c:numCache>
                <c:formatCode>0.000</c:formatCode>
                <c:ptCount val="4"/>
                <c:pt idx="0">
                  <c:v>1.8161339999999999</c:v>
                </c:pt>
                <c:pt idx="1">
                  <c:v>-1.8161339999999999</c:v>
                </c:pt>
                <c:pt idx="2">
                  <c:v>-0.83765199999999995</c:v>
                </c:pt>
                <c:pt idx="3">
                  <c:v>0.83765199999999995</c:v>
                </c:pt>
              </c:numCache>
            </c:numRef>
          </c:xVal>
          <c:yVal>
            <c:numRef>
              <c:f>'Groups II'!$AK$49:$AK$52</c:f>
              <c:numCache>
                <c:formatCode>0.000</c:formatCode>
                <c:ptCount val="4"/>
                <c:pt idx="0">
                  <c:v>0.83765199999999995</c:v>
                </c:pt>
                <c:pt idx="1">
                  <c:v>-0.83765199999999995</c:v>
                </c:pt>
                <c:pt idx="2">
                  <c:v>1.8161339999999999</c:v>
                </c:pt>
                <c:pt idx="3">
                  <c:v>-1.8161339999999999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391920"/>
        <c:axId val="556380552"/>
      </c:scatterChart>
      <c:valAx>
        <c:axId val="556391920"/>
        <c:scaling>
          <c:orientation val="minMax"/>
          <c:max val="3"/>
          <c:min val="-3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Petal Length</a:t>
                </a:r>
              </a:p>
            </c:rich>
          </c:tx>
          <c:layout>
            <c:manualLayout>
              <c:xMode val="edge"/>
              <c:yMode val="edge"/>
              <c:x val="0.39627129833027919"/>
              <c:y val="0.9244464506216376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80552"/>
        <c:crossesAt val="-3"/>
        <c:crossBetween val="midCat"/>
        <c:majorUnit val="1"/>
        <c:minorUnit val="1"/>
      </c:valAx>
      <c:valAx>
        <c:axId val="556380552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Petal Width</a:t>
                </a:r>
              </a:p>
            </c:rich>
          </c:tx>
          <c:layout>
            <c:manualLayout>
              <c:xMode val="edge"/>
              <c:yMode val="edge"/>
              <c:x val="3.0303099284080173E-2"/>
              <c:y val="0.3866675057888580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91920"/>
        <c:crossesAt val="-3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51160381975667"/>
          <c:y val="6.8889038387670118E-2"/>
          <c:w val="0.30303099284080176"/>
          <c:h val="0.171111482446793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85150812064965"/>
          <c:y val="5.7777903163852354E-2"/>
          <c:w val="0.67053364269141535"/>
          <c:h val="0.81111287133869647"/>
        </c:manualLayout>
      </c:layout>
      <c:scatterChart>
        <c:scatterStyle val="lineMarker"/>
        <c:varyColors val="0"/>
        <c:ser>
          <c:idx val="0"/>
          <c:order val="0"/>
          <c:tx>
            <c:v>I. setosa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ABEA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II'!$AU$6:$AU$30</c:f>
              <c:numCache>
                <c:formatCode>0.000</c:formatCode>
                <c:ptCount val="25"/>
                <c:pt idx="0">
                  <c:v>-0.51730271866666688</c:v>
                </c:pt>
                <c:pt idx="1">
                  <c:v>-0.9083291186666661</c:v>
                </c:pt>
                <c:pt idx="2">
                  <c:v>-1.0061773186666663</c:v>
                </c:pt>
                <c:pt idx="3">
                  <c:v>-1.1388666186666667</c:v>
                </c:pt>
                <c:pt idx="4">
                  <c:v>-0.56622681866666635</c:v>
                </c:pt>
                <c:pt idx="5">
                  <c:v>-7.735221866666625E-2</c:v>
                </c:pt>
                <c:pt idx="6">
                  <c:v>-1.0132188186666669</c:v>
                </c:pt>
                <c:pt idx="7">
                  <c:v>-0.64999201866666645</c:v>
                </c:pt>
                <c:pt idx="8">
                  <c:v>-1.4042452186666663</c:v>
                </c:pt>
                <c:pt idx="9">
                  <c:v>-0.86644651866666611</c:v>
                </c:pt>
                <c:pt idx="10">
                  <c:v>-0.16111741866666612</c:v>
                </c:pt>
                <c:pt idx="11">
                  <c:v>-0.8316054186666666</c:v>
                </c:pt>
                <c:pt idx="12">
                  <c:v>-0.99913581866666656</c:v>
                </c:pt>
                <c:pt idx="13">
                  <c:v>-1.4531693186666665</c:v>
                </c:pt>
                <c:pt idx="14">
                  <c:v>0.32775718133333331</c:v>
                </c:pt>
                <c:pt idx="15">
                  <c:v>0.40448088133333382</c:v>
                </c:pt>
                <c:pt idx="16">
                  <c:v>-7.735221866666625E-2</c:v>
                </c:pt>
                <c:pt idx="17">
                  <c:v>-0.51730271866666688</c:v>
                </c:pt>
                <c:pt idx="18">
                  <c:v>0.15318528133333356</c:v>
                </c:pt>
                <c:pt idx="19">
                  <c:v>-0.39165491866666696</c:v>
                </c:pt>
                <c:pt idx="20">
                  <c:v>-0.28676521866666627</c:v>
                </c:pt>
                <c:pt idx="21">
                  <c:v>-0.43353751866666679</c:v>
                </c:pt>
                <c:pt idx="22">
                  <c:v>-0.92945361866666687</c:v>
                </c:pt>
                <c:pt idx="23">
                  <c:v>-0.60106791866666698</c:v>
                </c:pt>
                <c:pt idx="24">
                  <c:v>-0.8316054186666666</c:v>
                </c:pt>
              </c:numCache>
            </c:numRef>
          </c:xVal>
          <c:yVal>
            <c:numRef>
              <c:f>'Groups II'!$AV$6:$AV$30</c:f>
              <c:numCache>
                <c:formatCode>0.000</c:formatCode>
                <c:ptCount val="25"/>
                <c:pt idx="0">
                  <c:v>0.72167239600000022</c:v>
                </c:pt>
                <c:pt idx="1">
                  <c:v>0.35140409599999989</c:v>
                </c:pt>
                <c:pt idx="2">
                  <c:v>0.61678269600000013</c:v>
                </c:pt>
                <c:pt idx="3">
                  <c:v>0.56785859600000022</c:v>
                </c:pt>
                <c:pt idx="4">
                  <c:v>0.85436169600000011</c:v>
                </c:pt>
                <c:pt idx="5">
                  <c:v>0.95925139599999976</c:v>
                </c:pt>
                <c:pt idx="6">
                  <c:v>0.84027869600000005</c:v>
                </c:pt>
                <c:pt idx="7">
                  <c:v>0.67274829599999997</c:v>
                </c:pt>
                <c:pt idx="8">
                  <c:v>0.47001039599999983</c:v>
                </c:pt>
                <c:pt idx="9">
                  <c:v>0.44221079599999996</c:v>
                </c:pt>
                <c:pt idx="10">
                  <c:v>0.77763799599999994</c:v>
                </c:pt>
                <c:pt idx="11">
                  <c:v>0.75651349599999995</c:v>
                </c:pt>
                <c:pt idx="12">
                  <c:v>0.3932866960000001</c:v>
                </c:pt>
                <c:pt idx="13">
                  <c:v>0.60269969600000006</c:v>
                </c:pt>
                <c:pt idx="14">
                  <c:v>0.88252769600000003</c:v>
                </c:pt>
                <c:pt idx="15">
                  <c:v>1.2876370960000001</c:v>
                </c:pt>
                <c:pt idx="16">
                  <c:v>0.95925139599999976</c:v>
                </c:pt>
                <c:pt idx="17">
                  <c:v>0.72167239600000022</c:v>
                </c:pt>
                <c:pt idx="18">
                  <c:v>0.74279689599999976</c:v>
                </c:pt>
                <c:pt idx="19">
                  <c:v>0.99409249599999994</c:v>
                </c:pt>
                <c:pt idx="20">
                  <c:v>0.50521789599999978</c:v>
                </c:pt>
                <c:pt idx="21">
                  <c:v>0.90328579600000025</c:v>
                </c:pt>
                <c:pt idx="22">
                  <c:v>1.0218920960000002</c:v>
                </c:pt>
                <c:pt idx="23">
                  <c:v>0.54005899599999996</c:v>
                </c:pt>
                <c:pt idx="24">
                  <c:v>0.75651349599999995</c:v>
                </c:pt>
              </c:numCache>
            </c:numRef>
          </c:yVal>
          <c:smooth val="0"/>
        </c:ser>
        <c:ser>
          <c:idx val="1"/>
          <c:order val="1"/>
          <c:tx>
            <c:v>I. versicolor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II'!$AU$31:$AU$55</c:f>
              <c:numCache>
                <c:formatCode>0.000</c:formatCode>
                <c:ptCount val="25"/>
                <c:pt idx="0">
                  <c:v>1.0823767813333334</c:v>
                </c:pt>
                <c:pt idx="1">
                  <c:v>0.53753658133333382</c:v>
                </c:pt>
                <c:pt idx="2">
                  <c:v>0.94968748133333381</c:v>
                </c:pt>
                <c:pt idx="3">
                  <c:v>-0.6566671186666666</c:v>
                </c:pt>
                <c:pt idx="4">
                  <c:v>0.46081288133333342</c:v>
                </c:pt>
                <c:pt idx="5">
                  <c:v>-0.26564071866666639</c:v>
                </c:pt>
                <c:pt idx="6">
                  <c:v>0.48861248133333324</c:v>
                </c:pt>
                <c:pt idx="7">
                  <c:v>-1.1596247186666662</c:v>
                </c:pt>
                <c:pt idx="8">
                  <c:v>0.59350218133333299</c:v>
                </c:pt>
                <c:pt idx="9">
                  <c:v>-0.76155681866666625</c:v>
                </c:pt>
                <c:pt idx="10">
                  <c:v>-1.2363484186666664</c:v>
                </c:pt>
                <c:pt idx="11">
                  <c:v>-2.6211866666620356E-4</c:v>
                </c:pt>
                <c:pt idx="12">
                  <c:v>-0.24451621866666645</c:v>
                </c:pt>
                <c:pt idx="13">
                  <c:v>0.13946868133333312</c:v>
                </c:pt>
                <c:pt idx="14">
                  <c:v>-0.31456481866666686</c:v>
                </c:pt>
                <c:pt idx="15">
                  <c:v>0.76807408133333366</c:v>
                </c:pt>
                <c:pt idx="16">
                  <c:v>-0.27268221866666681</c:v>
                </c:pt>
                <c:pt idx="17">
                  <c:v>-0.21671661866666661</c:v>
                </c:pt>
                <c:pt idx="18">
                  <c:v>-6.2902818666666305E-2</c:v>
                </c:pt>
                <c:pt idx="19">
                  <c:v>-0.48209521866666682</c:v>
                </c:pt>
                <c:pt idx="20">
                  <c:v>8.3503081333333867E-2</c:v>
                </c:pt>
                <c:pt idx="21">
                  <c:v>9.7586081333333075E-2</c:v>
                </c:pt>
                <c:pt idx="22">
                  <c:v>0.1535516813333333</c:v>
                </c:pt>
                <c:pt idx="23">
                  <c:v>9.7586081333333075E-2</c:v>
                </c:pt>
                <c:pt idx="24">
                  <c:v>0.41188878133333373</c:v>
                </c:pt>
              </c:numCache>
            </c:numRef>
          </c:xVal>
          <c:yVal>
            <c:numRef>
              <c:f>'Groups II'!$AV$31:$AV$55</c:f>
              <c:numCache>
                <c:formatCode>0.000</c:formatCode>
                <c:ptCount val="25"/>
                <c:pt idx="0">
                  <c:v>-0.3465171039999998</c:v>
                </c:pt>
                <c:pt idx="1">
                  <c:v>-9.5221503999999957E-2</c:v>
                </c:pt>
                <c:pt idx="2">
                  <c:v>-0.39544120399999999</c:v>
                </c:pt>
                <c:pt idx="3">
                  <c:v>-0.53553840400000019</c:v>
                </c:pt>
                <c:pt idx="4">
                  <c:v>-0.50033090400000013</c:v>
                </c:pt>
                <c:pt idx="5">
                  <c:v>-0.1652701040000002</c:v>
                </c:pt>
                <c:pt idx="6">
                  <c:v>3.7467795999999942E-2</c:v>
                </c:pt>
                <c:pt idx="7">
                  <c:v>-0.19343610400000016</c:v>
                </c:pt>
                <c:pt idx="8">
                  <c:v>-0.45140680399999988</c:v>
                </c:pt>
                <c:pt idx="9">
                  <c:v>-4.6663803999999864E-2</c:v>
                </c:pt>
                <c:pt idx="10">
                  <c:v>-0.59854550399999995</c:v>
                </c:pt>
                <c:pt idx="11">
                  <c:v>-6.7421904000000102E-2</c:v>
                </c:pt>
                <c:pt idx="12">
                  <c:v>-0.83575810399999984</c:v>
                </c:pt>
                <c:pt idx="13">
                  <c:v>-0.24199380399999987</c:v>
                </c:pt>
                <c:pt idx="14">
                  <c:v>-3.2580803999999894E-2</c:v>
                </c:pt>
                <c:pt idx="15">
                  <c:v>-0.3116760039999999</c:v>
                </c:pt>
                <c:pt idx="16">
                  <c:v>5.8225896000000187E-2</c:v>
                </c:pt>
                <c:pt idx="17">
                  <c:v>-0.29795940399999971</c:v>
                </c:pt>
                <c:pt idx="18">
                  <c:v>-0.91952330399999993</c:v>
                </c:pt>
                <c:pt idx="19">
                  <c:v>-0.39580760399999981</c:v>
                </c:pt>
                <c:pt idx="20">
                  <c:v>0.11419149600000003</c:v>
                </c:pt>
                <c:pt idx="21">
                  <c:v>-0.33280050399999994</c:v>
                </c:pt>
                <c:pt idx="22">
                  <c:v>-0.68898580399999987</c:v>
                </c:pt>
                <c:pt idx="23">
                  <c:v>-0.33280050399999994</c:v>
                </c:pt>
                <c:pt idx="24">
                  <c:v>-0.36764160400000018</c:v>
                </c:pt>
              </c:numCache>
            </c:numRef>
          </c:yVal>
          <c:smooth val="0"/>
        </c:ser>
        <c:ser>
          <c:idx val="2"/>
          <c:order val="2"/>
          <c:tx>
            <c:v>I. virginica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II'!$AU$56:$AU$80</c:f>
              <c:numCache>
                <c:formatCode>0.000</c:formatCode>
                <c:ptCount val="25"/>
                <c:pt idx="0">
                  <c:v>0.48861248133333324</c:v>
                </c:pt>
                <c:pt idx="1">
                  <c:v>-0.21671661866666661</c:v>
                </c:pt>
                <c:pt idx="2">
                  <c:v>1.0894182813333331</c:v>
                </c:pt>
                <c:pt idx="3">
                  <c:v>0.32108208133333327</c:v>
                </c:pt>
                <c:pt idx="4">
                  <c:v>0.54457808133333352</c:v>
                </c:pt>
                <c:pt idx="5">
                  <c:v>1.5434517813333331</c:v>
                </c:pt>
                <c:pt idx="6">
                  <c:v>-1.1177421186666661</c:v>
                </c:pt>
                <c:pt idx="7">
                  <c:v>1.2291490813333332</c:v>
                </c:pt>
                <c:pt idx="8">
                  <c:v>0.51677848133333359</c:v>
                </c:pt>
                <c:pt idx="9">
                  <c:v>1.4315205813333336</c:v>
                </c:pt>
                <c:pt idx="10">
                  <c:v>0.62834328133333361</c:v>
                </c:pt>
                <c:pt idx="11">
                  <c:v>0.32812358133333386</c:v>
                </c:pt>
                <c:pt idx="12">
                  <c:v>0.81699818133333335</c:v>
                </c:pt>
                <c:pt idx="13">
                  <c:v>-0.39128851866666636</c:v>
                </c:pt>
                <c:pt idx="14">
                  <c:v>-0.17483401866666676</c:v>
                </c:pt>
                <c:pt idx="15">
                  <c:v>0.53753658133333382</c:v>
                </c:pt>
                <c:pt idx="16">
                  <c:v>0.54457808133333352</c:v>
                </c:pt>
                <c:pt idx="17">
                  <c:v>1.9693192813333336</c:v>
                </c:pt>
                <c:pt idx="18">
                  <c:v>1.4667280813333337</c:v>
                </c:pt>
                <c:pt idx="19">
                  <c:v>-0.24451621866666645</c:v>
                </c:pt>
                <c:pt idx="20">
                  <c:v>0.99157008133333391</c:v>
                </c:pt>
                <c:pt idx="21">
                  <c:v>-0.3564474186666669</c:v>
                </c:pt>
                <c:pt idx="22">
                  <c:v>1.5504932813333334</c:v>
                </c:pt>
                <c:pt idx="23">
                  <c:v>0.23731688133333337</c:v>
                </c:pt>
                <c:pt idx="24">
                  <c:v>0.85183928133333353</c:v>
                </c:pt>
              </c:numCache>
            </c:numRef>
          </c:xVal>
          <c:yVal>
            <c:numRef>
              <c:f>'Groups II'!$AV$56:$AV$80</c:f>
              <c:numCache>
                <c:formatCode>0.000</c:formatCode>
                <c:ptCount val="25"/>
                <c:pt idx="0">
                  <c:v>3.7467795999999942E-2</c:v>
                </c:pt>
                <c:pt idx="1">
                  <c:v>-0.29795940399999971</c:v>
                </c:pt>
                <c:pt idx="2">
                  <c:v>-0.57001310399999983</c:v>
                </c:pt>
                <c:pt idx="3">
                  <c:v>-0.32575900399999996</c:v>
                </c:pt>
                <c:pt idx="4">
                  <c:v>-0.31871750399999993</c:v>
                </c:pt>
                <c:pt idx="5">
                  <c:v>-0.77942610399999979</c:v>
                </c:pt>
                <c:pt idx="6">
                  <c:v>-0.10262940400000015</c:v>
                </c:pt>
                <c:pt idx="7">
                  <c:v>-0.74458500399999994</c:v>
                </c:pt>
                <c:pt idx="8">
                  <c:v>-0.85651620400000006</c:v>
                </c:pt>
                <c:pt idx="9">
                  <c:v>-6.7055503999999932E-2</c:v>
                </c:pt>
                <c:pt idx="10">
                  <c:v>-0.13710410399999981</c:v>
                </c:pt>
                <c:pt idx="11">
                  <c:v>-0.54925500399999994</c:v>
                </c:pt>
                <c:pt idx="12">
                  <c:v>-0.44436530399999985</c:v>
                </c:pt>
                <c:pt idx="13">
                  <c:v>-0.43769020400000003</c:v>
                </c:pt>
                <c:pt idx="14">
                  <c:v>-0.20715270400000005</c:v>
                </c:pt>
                <c:pt idx="15">
                  <c:v>-9.5221503999999957E-2</c:v>
                </c:pt>
                <c:pt idx="16">
                  <c:v>-0.31871750399999993</c:v>
                </c:pt>
                <c:pt idx="17">
                  <c:v>-9.485510400000019E-2</c:v>
                </c:pt>
                <c:pt idx="18">
                  <c:v>-1.1845355039999999</c:v>
                </c:pt>
                <c:pt idx="19">
                  <c:v>-0.83575810399999984</c:v>
                </c:pt>
                <c:pt idx="20">
                  <c:v>-0.30463450399999992</c:v>
                </c:pt>
                <c:pt idx="21">
                  <c:v>-0.12338750399999997</c:v>
                </c:pt>
                <c:pt idx="22">
                  <c:v>-1.002922104</c:v>
                </c:pt>
                <c:pt idx="23">
                  <c:v>-0.50737240399999972</c:v>
                </c:pt>
                <c:pt idx="24">
                  <c:v>-0.13006260400000016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394664"/>
        <c:axId val="556395448"/>
      </c:scatterChart>
      <c:valAx>
        <c:axId val="556394664"/>
        <c:scaling>
          <c:orientation val="minMax"/>
          <c:max val="3"/>
          <c:min val="-3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PC-1 (</a:t>
                </a: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Symbol"/>
                    <a:cs typeface="Arial"/>
                  </a:rPr>
                  <a:t>l</a:t>
                </a: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= 83.30%)</a:t>
                </a:r>
              </a:p>
            </c:rich>
          </c:tx>
          <c:layout>
            <c:manualLayout>
              <c:xMode val="edge"/>
              <c:yMode val="edge"/>
              <c:x val="0.33642691415313225"/>
              <c:y val="0.9288909047111647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95448"/>
        <c:crossesAt val="-3"/>
        <c:crossBetween val="midCat"/>
        <c:majorUnit val="1.5"/>
        <c:minorUnit val="1.5"/>
      </c:valAx>
      <c:valAx>
        <c:axId val="556395448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PC-2 (</a:t>
                </a: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Symbol"/>
                    <a:cs typeface="Arial"/>
                  </a:rPr>
                  <a:t>l</a:t>
                </a: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= 16.70%)</a:t>
                </a:r>
              </a:p>
            </c:rich>
          </c:tx>
          <c:layout>
            <c:manualLayout>
              <c:xMode val="edge"/>
              <c:yMode val="edge"/>
              <c:x val="2.0881670533642691E-2"/>
              <c:y val="0.326667375580242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94664"/>
        <c:crossesAt val="-3"/>
        <c:crossBetween val="midCat"/>
        <c:majorUnit val="1.5"/>
        <c:minorUnit val="1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716937354988399"/>
          <c:y val="8.6666854745778524E-2"/>
          <c:w val="0.18097447795823665"/>
          <c:h val="0.1288891685962860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73317865429235"/>
          <c:y val="5.7906458797327393E-2"/>
          <c:w val="0.64965197215777259"/>
          <c:h val="0.79064587973273948"/>
        </c:manualLayout>
      </c:layout>
      <c:scatterChart>
        <c:scatterStyle val="lineMarker"/>
        <c:varyColors val="0"/>
        <c:ser>
          <c:idx val="0"/>
          <c:order val="0"/>
          <c:tx>
            <c:v>I. setosa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ABEA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II'!$AX$6:$AX$30</c:f>
              <c:numCache>
                <c:formatCode>0.000</c:formatCode>
                <c:ptCount val="25"/>
                <c:pt idx="0">
                  <c:v>-0.84815121955719464</c:v>
                </c:pt>
                <c:pt idx="1">
                  <c:v>-1.4892642585411691</c:v>
                </c:pt>
                <c:pt idx="2">
                  <c:v>-1.6496927024035577</c:v>
                </c:pt>
                <c:pt idx="3">
                  <c:v>-1.8672453800837776</c:v>
                </c:pt>
                <c:pt idx="4">
                  <c:v>-0.92836544148838807</c:v>
                </c:pt>
                <c:pt idx="5">
                  <c:v>-0.1268239586420237</c:v>
                </c:pt>
                <c:pt idx="6">
                  <c:v>-1.6612376964602404</c:v>
                </c:pt>
                <c:pt idx="7">
                  <c:v>-1.0657038972374131</c:v>
                </c:pt>
                <c:pt idx="8">
                  <c:v>-2.3023507354442154</c:v>
                </c:pt>
                <c:pt idx="9">
                  <c:v>-1.4205950306666566</c:v>
                </c:pt>
                <c:pt idx="10">
                  <c:v>-0.26416241439104843</c:v>
                </c:pt>
                <c:pt idx="11">
                  <c:v>-1.3634707968488267</c:v>
                </c:pt>
                <c:pt idx="12">
                  <c:v>-1.6381477083468765</c:v>
                </c:pt>
                <c:pt idx="13">
                  <c:v>-2.38256495737541</c:v>
                </c:pt>
                <c:pt idx="14">
                  <c:v>0.5373790684553148</c:v>
                </c:pt>
                <c:pt idx="15">
                  <c:v>0.66317253014765887</c:v>
                </c:pt>
                <c:pt idx="16">
                  <c:v>-0.1268239586420237</c:v>
                </c:pt>
                <c:pt idx="17">
                  <c:v>-0.84815121955719464</c:v>
                </c:pt>
                <c:pt idx="18">
                  <c:v>0.2511571629005836</c:v>
                </c:pt>
                <c:pt idx="19">
                  <c:v>-0.64214353593365736</c:v>
                </c:pt>
                <c:pt idx="20">
                  <c:v>-0.47017009801458604</c:v>
                </c:pt>
                <c:pt idx="21">
                  <c:v>-0.7108127638081696</c:v>
                </c:pt>
                <c:pt idx="22">
                  <c:v>-1.5238992407112155</c:v>
                </c:pt>
                <c:pt idx="23">
                  <c:v>-0.98548967530621978</c:v>
                </c:pt>
                <c:pt idx="24">
                  <c:v>-1.3634707968488267</c:v>
                </c:pt>
              </c:numCache>
            </c:numRef>
          </c:xVal>
          <c:yVal>
            <c:numRef>
              <c:f>'Groups II'!$AY$6:$AY$30</c:f>
              <c:numCache>
                <c:formatCode>0.000</c:formatCode>
                <c:ptCount val="25"/>
                <c:pt idx="0">
                  <c:v>2.6529204895033645</c:v>
                </c:pt>
                <c:pt idx="1">
                  <c:v>1.2917871482142802</c:v>
                </c:pt>
                <c:pt idx="2">
                  <c:v>2.2673382837681997</c:v>
                </c:pt>
                <c:pt idx="3">
                  <c:v>2.0874897153043017</c:v>
                </c:pt>
                <c:pt idx="4">
                  <c:v>3.1406960572803233</c:v>
                </c:pt>
                <c:pt idx="5">
                  <c:v>3.5262782630154863</c:v>
                </c:pt>
                <c:pt idx="6">
                  <c:v>3.0889259196655878</c:v>
                </c:pt>
                <c:pt idx="7">
                  <c:v>2.4730719210394652</c:v>
                </c:pt>
                <c:pt idx="8">
                  <c:v>1.727792578376504</c:v>
                </c:pt>
                <c:pt idx="9">
                  <c:v>1.6255992163347093</c:v>
                </c:pt>
                <c:pt idx="10">
                  <c:v>2.8586541267746295</c:v>
                </c:pt>
                <c:pt idx="11">
                  <c:v>2.7809989203525265</c:v>
                </c:pt>
                <c:pt idx="12">
                  <c:v>1.4457506478708115</c:v>
                </c:pt>
                <c:pt idx="13">
                  <c:v>2.2155681461534642</c:v>
                </c:pt>
                <c:pt idx="14">
                  <c:v>3.2442363325097943</c:v>
                </c:pt>
                <c:pt idx="15">
                  <c:v>4.7334481046480406</c:v>
                </c:pt>
                <c:pt idx="16">
                  <c:v>3.5262782630154863</c:v>
                </c:pt>
                <c:pt idx="17">
                  <c:v>2.6529204895033645</c:v>
                </c:pt>
                <c:pt idx="18">
                  <c:v>2.7305756959254661</c:v>
                </c:pt>
                <c:pt idx="19">
                  <c:v>3.6543566938646501</c:v>
                </c:pt>
                <c:pt idx="20">
                  <c:v>1.8572179224133425</c:v>
                </c:pt>
                <c:pt idx="21">
                  <c:v>3.3205446257442222</c:v>
                </c:pt>
                <c:pt idx="22">
                  <c:v>3.756550055906446</c:v>
                </c:pt>
                <c:pt idx="23">
                  <c:v>1.9852963532625059</c:v>
                </c:pt>
                <c:pt idx="24">
                  <c:v>2.7809989203525265</c:v>
                </c:pt>
              </c:numCache>
            </c:numRef>
          </c:yVal>
          <c:smooth val="0"/>
        </c:ser>
        <c:ser>
          <c:idx val="1"/>
          <c:order val="1"/>
          <c:tx>
            <c:v>I. versicolor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II'!$AX$31:$AX$55</c:f>
              <c:numCache>
                <c:formatCode>0.000</c:formatCode>
                <c:ptCount val="25"/>
                <c:pt idx="0">
                  <c:v>1.7746266431276956</c:v>
                </c:pt>
                <c:pt idx="1">
                  <c:v>0.88132594429345612</c:v>
                </c:pt>
                <c:pt idx="2">
                  <c:v>1.557073965447477</c:v>
                </c:pt>
                <c:pt idx="3">
                  <c:v>-1.0766481548285169</c:v>
                </c:pt>
                <c:pt idx="4">
                  <c:v>0.75553248260111228</c:v>
                </c:pt>
                <c:pt idx="5">
                  <c:v>-0.43553511584454097</c:v>
                </c:pt>
                <c:pt idx="6">
                  <c:v>0.80111172236226091</c:v>
                </c:pt>
                <c:pt idx="7">
                  <c:v>-1.9012796257882441</c:v>
                </c:pt>
                <c:pt idx="8">
                  <c:v>0.97308516028133074</c:v>
                </c:pt>
                <c:pt idx="9">
                  <c:v>-1.2486215927475866</c:v>
                </c:pt>
                <c:pt idx="10">
                  <c:v>-2.0270730874805878</c:v>
                </c:pt>
                <c:pt idx="11">
                  <c:v>-4.2976048410234578E-4</c:v>
                </c:pt>
                <c:pt idx="12">
                  <c:v>-0.40090013367449578</c:v>
                </c:pt>
                <c:pt idx="13">
                  <c:v>0.22866791125279745</c:v>
                </c:pt>
                <c:pt idx="14">
                  <c:v>-0.51574933777573595</c:v>
                </c:pt>
                <c:pt idx="15">
                  <c:v>1.2593070658360634</c:v>
                </c:pt>
                <c:pt idx="16">
                  <c:v>-0.44708010990122343</c:v>
                </c:pt>
                <c:pt idx="17">
                  <c:v>-0.35532089391334709</c:v>
                </c:pt>
                <c:pt idx="18">
                  <c:v>-0.10313323406308215</c:v>
                </c:pt>
                <c:pt idx="19">
                  <c:v>-0.7904262492737858</c:v>
                </c:pt>
                <c:pt idx="20">
                  <c:v>0.13690869526492269</c:v>
                </c:pt>
                <c:pt idx="21">
                  <c:v>0.15999868337828493</c:v>
                </c:pt>
                <c:pt idx="22">
                  <c:v>0.25175789936616128</c:v>
                </c:pt>
                <c:pt idx="23">
                  <c:v>0.15999868337828493</c:v>
                </c:pt>
                <c:pt idx="24">
                  <c:v>0.67531826066991851</c:v>
                </c:pt>
              </c:numCache>
            </c:numRef>
          </c:xVal>
          <c:yVal>
            <c:numRef>
              <c:f>'Groups II'!$AY$31:$AY$55</c:f>
              <c:numCache>
                <c:formatCode>0.000</c:formatCode>
                <c:ptCount val="25"/>
                <c:pt idx="0">
                  <c:v>-1.2738222083320025</c:v>
                </c:pt>
                <c:pt idx="1">
                  <c:v>-0.35004121039281982</c:v>
                </c:pt>
                <c:pt idx="2">
                  <c:v>-1.4536707767959016</c:v>
                </c:pt>
                <c:pt idx="3">
                  <c:v>-1.9686783265679053</c:v>
                </c:pt>
                <c:pt idx="4">
                  <c:v>-1.8392529825310664</c:v>
                </c:pt>
                <c:pt idx="5">
                  <c:v>-0.60754498527882217</c:v>
                </c:pt>
                <c:pt idx="6">
                  <c:v>0.13773435738413919</c:v>
                </c:pt>
                <c:pt idx="7">
                  <c:v>-0.71108526050829302</c:v>
                </c:pt>
                <c:pt idx="8">
                  <c:v>-1.6594044140671671</c:v>
                </c:pt>
                <c:pt idx="9">
                  <c:v>-0.17153955511659708</c:v>
                </c:pt>
                <c:pt idx="10">
                  <c:v>-2.2002970326465383</c:v>
                </c:pt>
                <c:pt idx="11">
                  <c:v>-0.24784784835102527</c:v>
                </c:pt>
                <c:pt idx="12">
                  <c:v>-3.0723078929709855</c:v>
                </c:pt>
                <c:pt idx="13">
                  <c:v>-0.88958691578451432</c:v>
                </c:pt>
                <c:pt idx="14">
                  <c:v>-0.11976941750186171</c:v>
                </c:pt>
                <c:pt idx="15">
                  <c:v>-1.1457437774828401</c:v>
                </c:pt>
                <c:pt idx="16">
                  <c:v>0.21404265061856742</c:v>
                </c:pt>
                <c:pt idx="17">
                  <c:v>-1.0953205530557797</c:v>
                </c:pt>
                <c:pt idx="18">
                  <c:v>-3.3802348922840468</c:v>
                </c:pt>
                <c:pt idx="19">
                  <c:v>-1.4550176899835767</c:v>
                </c:pt>
                <c:pt idx="20">
                  <c:v>0.4197762878898329</c:v>
                </c:pt>
                <c:pt idx="21">
                  <c:v>-1.2233989839049435</c:v>
                </c:pt>
                <c:pt idx="22">
                  <c:v>-2.5327621875792907</c:v>
                </c:pt>
                <c:pt idx="23">
                  <c:v>-1.2233989839049435</c:v>
                </c:pt>
                <c:pt idx="24">
                  <c:v>-1.3514774147541071</c:v>
                </c:pt>
              </c:numCache>
            </c:numRef>
          </c:yVal>
          <c:smooth val="0"/>
        </c:ser>
        <c:ser>
          <c:idx val="2"/>
          <c:order val="2"/>
          <c:tx>
            <c:v>I. virginica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II'!$AX$56:$AX$80</c:f>
              <c:numCache>
                <c:formatCode>0.000</c:formatCode>
                <c:ptCount val="25"/>
                <c:pt idx="0">
                  <c:v>0.80111172236226091</c:v>
                </c:pt>
                <c:pt idx="1">
                  <c:v>-0.35532089391334709</c:v>
                </c:pt>
                <c:pt idx="2">
                  <c:v>1.7861716371843768</c:v>
                </c:pt>
                <c:pt idx="3">
                  <c:v>0.52643481086421107</c:v>
                </c:pt>
                <c:pt idx="4">
                  <c:v>0.89287093835013731</c:v>
                </c:pt>
                <c:pt idx="5">
                  <c:v>2.53058888621291</c:v>
                </c:pt>
                <c:pt idx="6">
                  <c:v>-1.8326103979137314</c:v>
                </c:pt>
                <c:pt idx="7">
                  <c:v>2.0152693089212779</c:v>
                </c:pt>
                <c:pt idx="8">
                  <c:v>0.84729169858898856</c:v>
                </c:pt>
                <c:pt idx="9">
                  <c:v>2.347070454237159</c:v>
                </c:pt>
                <c:pt idx="10">
                  <c:v>1.0302093940991623</c:v>
                </c:pt>
                <c:pt idx="11">
                  <c:v>0.53797980492089381</c:v>
                </c:pt>
                <c:pt idx="12">
                  <c:v>1.3395212877672571</c:v>
                </c:pt>
                <c:pt idx="13">
                  <c:v>-0.64154279946807835</c:v>
                </c:pt>
                <c:pt idx="14">
                  <c:v>-0.28665166603883485</c:v>
                </c:pt>
                <c:pt idx="15">
                  <c:v>0.88132594429345612</c:v>
                </c:pt>
                <c:pt idx="16">
                  <c:v>0.89287093835013731</c:v>
                </c:pt>
                <c:pt idx="17">
                  <c:v>3.2288261590147176</c:v>
                </c:pt>
                <c:pt idx="18">
                  <c:v>2.404795424520568</c:v>
                </c:pt>
                <c:pt idx="19">
                  <c:v>-0.40090013367449578</c:v>
                </c:pt>
                <c:pt idx="20">
                  <c:v>1.6257431933219897</c:v>
                </c:pt>
                <c:pt idx="21">
                  <c:v>-0.58441856565024852</c:v>
                </c:pt>
                <c:pt idx="22">
                  <c:v>2.5421338802695925</c:v>
                </c:pt>
                <c:pt idx="23">
                  <c:v>0.38909635511518631</c:v>
                </c:pt>
                <c:pt idx="24">
                  <c:v>1.3966455215850881</c:v>
                </c:pt>
              </c:numCache>
            </c:numRef>
          </c:xVal>
          <c:yVal>
            <c:numRef>
              <c:f>'Groups II'!$AY$56:$AY$80</c:f>
              <c:numCache>
                <c:formatCode>0.000</c:formatCode>
                <c:ptCount val="25"/>
                <c:pt idx="0">
                  <c:v>0.13773435738413919</c:v>
                </c:pt>
                <c:pt idx="1">
                  <c:v>-1.0953205530557797</c:v>
                </c:pt>
                <c:pt idx="2">
                  <c:v>-2.0954098442293909</c:v>
                </c:pt>
                <c:pt idx="3">
                  <c:v>-1.1975139150975758</c:v>
                </c:pt>
                <c:pt idx="4">
                  <c:v>-1.171628846290208</c:v>
                </c:pt>
                <c:pt idx="5">
                  <c:v>-2.8652273425120436</c:v>
                </c:pt>
                <c:pt idx="6">
                  <c:v>-0.37727319238786411</c:v>
                </c:pt>
                <c:pt idx="7">
                  <c:v>-2.7371489116628811</c:v>
                </c:pt>
                <c:pt idx="8">
                  <c:v>-3.1486161862054138</c:v>
                </c:pt>
                <c:pt idx="9">
                  <c:v>-0.24650093516334881</c:v>
                </c:pt>
                <c:pt idx="10">
                  <c:v>-0.50400471004934988</c:v>
                </c:pt>
                <c:pt idx="11">
                  <c:v>-2.0191015509949639</c:v>
                </c:pt>
                <c:pt idx="12">
                  <c:v>-1.6335193452597994</c:v>
                </c:pt>
                <c:pt idx="13">
                  <c:v>-1.6089811896401081</c:v>
                </c:pt>
                <c:pt idx="14">
                  <c:v>-0.76150848493535217</c:v>
                </c:pt>
                <c:pt idx="15">
                  <c:v>-0.35004121039281982</c:v>
                </c:pt>
                <c:pt idx="16">
                  <c:v>-1.171628846290208</c:v>
                </c:pt>
                <c:pt idx="17">
                  <c:v>-0.34869429720514483</c:v>
                </c:pt>
                <c:pt idx="18">
                  <c:v>-4.3544391146502894</c:v>
                </c:pt>
                <c:pt idx="19">
                  <c:v>-3.0723078929709855</c:v>
                </c:pt>
                <c:pt idx="20">
                  <c:v>-1.1198587086754725</c:v>
                </c:pt>
                <c:pt idx="21">
                  <c:v>-0.45358148562229084</c:v>
                </c:pt>
                <c:pt idx="22">
                  <c:v>-3.6868149784094326</c:v>
                </c:pt>
                <c:pt idx="23">
                  <c:v>-1.8651380513384326</c:v>
                </c:pt>
                <c:pt idx="24">
                  <c:v>-0.47811964124198342</c:v>
                </c:pt>
              </c:numCache>
            </c:numRef>
          </c:yVal>
          <c:smooth val="0"/>
        </c:ser>
        <c:ser>
          <c:idx val="3"/>
          <c:order val="3"/>
          <c:tx>
            <c:v>Group Centroids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II'!$BH$8:$BH$10</c:f>
              <c:numCache>
                <c:formatCode>0.000</c:formatCode>
                <c:ptCount val="3"/>
                <c:pt idx="0">
                  <c:v>-0.96908114899220532</c:v>
                </c:pt>
                <c:pt idx="1">
                  <c:v>1.25006328593807E-2</c:v>
                </c:pt>
                <c:pt idx="2">
                  <c:v>0.95658051613282524</c:v>
                </c:pt>
              </c:numCache>
            </c:numRef>
          </c:xVal>
          <c:yVal>
            <c:numRef>
              <c:f>'Groups II'!$BI$8:$BI$10</c:f>
              <c:numCache>
                <c:formatCode>0.000</c:formatCode>
                <c:ptCount val="3"/>
                <c:pt idx="0">
                  <c:v>2.6970117956319801</c:v>
                </c:pt>
                <c:pt idx="1">
                  <c:v>-1.1680260005560994</c:v>
                </c:pt>
                <c:pt idx="2">
                  <c:v>-1.5289857950758801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395056"/>
        <c:axId val="556393880"/>
      </c:scatterChart>
      <c:valAx>
        <c:axId val="556395056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PC-1 (</a:t>
                </a: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Symbol"/>
                    <a:cs typeface="Arial"/>
                  </a:rPr>
                  <a:t>l</a:t>
                </a: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= 83.30%)</a:t>
                </a:r>
              </a:p>
            </c:rich>
          </c:tx>
          <c:layout>
            <c:manualLayout>
              <c:xMode val="edge"/>
              <c:yMode val="edge"/>
              <c:x val="0.3480278422273782"/>
              <c:y val="0.908685968819599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93880"/>
        <c:crossesAt val="-5"/>
        <c:crossBetween val="midCat"/>
        <c:majorUnit val="2.5"/>
        <c:minorUnit val="2.5"/>
      </c:valAx>
      <c:valAx>
        <c:axId val="556393880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PC-2 (</a:t>
                </a: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Symbol"/>
                    <a:cs typeface="Arial"/>
                  </a:rPr>
                  <a:t>l</a:t>
                </a: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= 16.70%)</a:t>
                </a:r>
              </a:p>
            </c:rich>
          </c:tx>
          <c:layout>
            <c:manualLayout>
              <c:xMode val="edge"/>
              <c:yMode val="edge"/>
              <c:x val="4.1763341067285381E-2"/>
              <c:y val="0.3162583518930957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95056"/>
        <c:crossesAt val="-5"/>
        <c:crossBetween val="midCat"/>
        <c:majorUnit val="2.5"/>
        <c:minorUnit val="2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29466357308585"/>
          <c:y val="0.66369710467706011"/>
          <c:w val="0.23665893271461716"/>
          <c:h val="0.1714922048997772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73317865429235"/>
          <c:y val="5.7906458797327393E-2"/>
          <c:w val="0.64965197215777259"/>
          <c:h val="0.79064587973273948"/>
        </c:manualLayout>
      </c:layout>
      <c:scatterChart>
        <c:scatterStyle val="lineMarker"/>
        <c:varyColors val="0"/>
        <c:ser>
          <c:idx val="0"/>
          <c:order val="0"/>
          <c:tx>
            <c:v>I. setosa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ABEA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II'!$BH$8</c:f>
              <c:numCache>
                <c:formatCode>0.000</c:formatCode>
                <c:ptCount val="1"/>
                <c:pt idx="0">
                  <c:v>-0.96908114899220532</c:v>
                </c:pt>
              </c:numCache>
            </c:numRef>
          </c:xVal>
          <c:yVal>
            <c:numRef>
              <c:f>'Groups II'!$BI$8</c:f>
              <c:numCache>
                <c:formatCode>0.000</c:formatCode>
                <c:ptCount val="1"/>
                <c:pt idx="0">
                  <c:v>2.6970117956319801</c:v>
                </c:pt>
              </c:numCache>
            </c:numRef>
          </c:yVal>
          <c:smooth val="0"/>
        </c:ser>
        <c:ser>
          <c:idx val="1"/>
          <c:order val="1"/>
          <c:tx>
            <c:v>I. versicolor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II'!$BH$9</c:f>
              <c:numCache>
                <c:formatCode>0.000</c:formatCode>
                <c:ptCount val="1"/>
                <c:pt idx="0">
                  <c:v>1.25006328593807E-2</c:v>
                </c:pt>
              </c:numCache>
            </c:numRef>
          </c:xVal>
          <c:yVal>
            <c:numRef>
              <c:f>'Groups II'!$BI$9</c:f>
              <c:numCache>
                <c:formatCode>0.000</c:formatCode>
                <c:ptCount val="1"/>
                <c:pt idx="0">
                  <c:v>-1.1680260005560994</c:v>
                </c:pt>
              </c:numCache>
            </c:numRef>
          </c:yVal>
          <c:smooth val="0"/>
        </c:ser>
        <c:ser>
          <c:idx val="2"/>
          <c:order val="2"/>
          <c:tx>
            <c:v>I. virginica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II'!$BH$10</c:f>
              <c:numCache>
                <c:formatCode>0.000</c:formatCode>
                <c:ptCount val="1"/>
                <c:pt idx="0">
                  <c:v>0.95658051613282524</c:v>
                </c:pt>
              </c:numCache>
            </c:numRef>
          </c:xVal>
          <c:yVal>
            <c:numRef>
              <c:f>'Groups II'!$BI$10</c:f>
              <c:numCache>
                <c:formatCode>0.000</c:formatCode>
                <c:ptCount val="1"/>
                <c:pt idx="0">
                  <c:v>-1.5289857950758801</c:v>
                </c:pt>
              </c:numCache>
            </c:numRef>
          </c:yVal>
          <c:smooth val="0"/>
        </c:ser>
        <c:ser>
          <c:idx val="3"/>
          <c:order val="3"/>
          <c:tx>
            <c:v>B-G Eigenvectors</c:v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II'!$BG$48:$BG$51</c:f>
              <c:numCache>
                <c:formatCode>0.000</c:formatCode>
                <c:ptCount val="4"/>
                <c:pt idx="0">
                  <c:v>1.4299040000000001</c:v>
                </c:pt>
                <c:pt idx="1">
                  <c:v>-1.4299040000000001</c:v>
                </c:pt>
                <c:pt idx="2">
                  <c:v>-3.7356880000000001</c:v>
                </c:pt>
                <c:pt idx="3">
                  <c:v>3.7356880000000001</c:v>
                </c:pt>
              </c:numCache>
            </c:numRef>
          </c:xVal>
          <c:yVal>
            <c:numRef>
              <c:f>'Groups II'!$BH$48:$BH$51</c:f>
              <c:numCache>
                <c:formatCode>0.000</c:formatCode>
                <c:ptCount val="4"/>
                <c:pt idx="0">
                  <c:v>-3.7356880000000001</c:v>
                </c:pt>
                <c:pt idx="1">
                  <c:v>3.7356880000000001</c:v>
                </c:pt>
                <c:pt idx="2">
                  <c:v>-1.4299040000000001</c:v>
                </c:pt>
                <c:pt idx="3">
                  <c:v>1.4299040000000001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396232"/>
        <c:axId val="556393096"/>
      </c:scatterChart>
      <c:valAx>
        <c:axId val="556396232"/>
        <c:scaling>
          <c:orientation val="minMax"/>
          <c:max val="5"/>
          <c:min val="-5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PC-1 (</a:t>
                </a: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Symbol"/>
                    <a:cs typeface="Arial"/>
                  </a:rPr>
                  <a:t>l</a:t>
                </a: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= 97.76%)</a:t>
                </a:r>
              </a:p>
            </c:rich>
          </c:tx>
          <c:layout>
            <c:manualLayout>
              <c:xMode val="edge"/>
              <c:yMode val="edge"/>
              <c:x val="0.3480278422273782"/>
              <c:y val="0.9086859688195990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93096"/>
        <c:crossesAt val="-5"/>
        <c:crossBetween val="midCat"/>
        <c:majorUnit val="2.5"/>
        <c:minorUnit val="2.5"/>
      </c:valAx>
      <c:valAx>
        <c:axId val="55639309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PC-2 (</a:t>
                </a: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Symbol"/>
                    <a:cs typeface="Arial"/>
                  </a:rPr>
                  <a:t>l</a:t>
                </a: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= 2.24%)</a:t>
                </a:r>
              </a:p>
            </c:rich>
          </c:tx>
          <c:layout>
            <c:manualLayout>
              <c:xMode val="edge"/>
              <c:yMode val="edge"/>
              <c:x val="4.1763341067285381E-2"/>
              <c:y val="0.3251670378619153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96232"/>
        <c:crossesAt val="-5"/>
        <c:crossBetween val="midCat"/>
        <c:majorUnit val="2.5"/>
        <c:minorUnit val="2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828306264501158"/>
          <c:y val="8.0178173719376397E-2"/>
          <c:w val="0.24825986078886311"/>
          <c:h val="0.1714922048997772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73317865429235"/>
          <c:y val="5.7906458797327393E-2"/>
          <c:w val="0.65197215777262185"/>
          <c:h val="0.80846325167037858"/>
        </c:manualLayout>
      </c:layout>
      <c:scatterChart>
        <c:scatterStyle val="lineMarker"/>
        <c:varyColors val="0"/>
        <c:ser>
          <c:idx val="0"/>
          <c:order val="0"/>
          <c:tx>
            <c:v>I. setosa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ABEA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II'!$BK$43:$BK$67</c:f>
              <c:numCache>
                <c:formatCode>0.000</c:formatCode>
                <c:ptCount val="25"/>
                <c:pt idx="0">
                  <c:v>-2.7808145147603889</c:v>
                </c:pt>
                <c:pt idx="1">
                  <c:v>-1.7388046671208399</c:v>
                </c:pt>
                <c:pt idx="2">
                  <c:v>-2.7072426531377785</c:v>
                </c:pt>
                <c:pt idx="3">
                  <c:v>-2.6170479793872525</c:v>
                </c:pt>
                <c:pt idx="4">
                  <c:v>-3.265033507768857</c:v>
                </c:pt>
                <c:pt idx="5">
                  <c:v>-3.3386053693914652</c:v>
                </c:pt>
                <c:pt idx="6">
                  <c:v>-3.4786684795257461</c:v>
                </c:pt>
                <c:pt idx="7">
                  <c:v>-2.6906198410098612</c:v>
                </c:pt>
                <c:pt idx="8">
                  <c:v>-2.436658631886198</c:v>
                </c:pt>
                <c:pt idx="9">
                  <c:v>-2.0260115005003381</c:v>
                </c:pt>
                <c:pt idx="10">
                  <c:v>-2.7641917026324703</c:v>
                </c:pt>
                <c:pt idx="11">
                  <c:v>-3.0846441602678034</c:v>
                </c:pt>
                <c:pt idx="12">
                  <c:v>-1.9358168267498121</c:v>
                </c:pt>
                <c:pt idx="13">
                  <c:v>-2.920877624894668</c:v>
                </c:pt>
                <c:pt idx="14">
                  <c:v>-2.8377635642550803</c:v>
                </c:pt>
                <c:pt idx="15">
                  <c:v>-4.1836030574020429</c:v>
                </c:pt>
                <c:pt idx="16">
                  <c:v>-3.3386053693914652</c:v>
                </c:pt>
                <c:pt idx="17">
                  <c:v>-2.7808145147603889</c:v>
                </c:pt>
                <c:pt idx="18">
                  <c:v>-2.460362057125054</c:v>
                </c:pt>
                <c:pt idx="19">
                  <c:v>-3.642435014898882</c:v>
                </c:pt>
                <c:pt idx="20">
                  <c:v>-1.9025712024939758</c:v>
                </c:pt>
                <c:pt idx="21">
                  <c:v>-3.3552281815193847</c:v>
                </c:pt>
                <c:pt idx="22">
                  <c:v>-4.0530821462847424</c:v>
                </c:pt>
                <c:pt idx="23">
                  <c:v>-2.2064008480013921</c:v>
                </c:pt>
                <c:pt idx="24">
                  <c:v>-3.0846441602678034</c:v>
                </c:pt>
              </c:numCache>
            </c:numRef>
          </c:xVal>
          <c:yVal>
            <c:numRef>
              <c:f>'Groups II'!$BL$43:$BL$67</c:f>
              <c:numCache>
                <c:formatCode>0.000</c:formatCode>
                <c:ptCount val="25"/>
                <c:pt idx="0">
                  <c:v>-0.15624832163441049</c:v>
                </c:pt>
                <c:pt idx="1">
                  <c:v>0.92907375227023759</c:v>
                </c:pt>
                <c:pt idx="2">
                  <c:v>0.73016528768581446</c:v>
                </c:pt>
                <c:pt idx="3">
                  <c:v>0.99763406639048113</c:v>
                </c:pt>
                <c:pt idx="4">
                  <c:v>-0.25570255392662256</c:v>
                </c:pt>
                <c:pt idx="5">
                  <c:v>-1.1421161632468479</c:v>
                </c:pt>
                <c:pt idx="6">
                  <c:v>0.44724954989516497</c:v>
                </c:pt>
                <c:pt idx="7">
                  <c:v>0.11122045707025541</c:v>
                </c:pt>
                <c:pt idx="8">
                  <c:v>1.5325716237998137</c:v>
                </c:pt>
                <c:pt idx="9">
                  <c:v>0.74561224677179871</c:v>
                </c:pt>
                <c:pt idx="10">
                  <c:v>-0.77519315224997087</c:v>
                </c:pt>
                <c:pt idx="11">
                  <c:v>0.27923500348271024</c:v>
                </c:pt>
                <c:pt idx="12">
                  <c:v>1.0130810254764653</c:v>
                </c:pt>
                <c:pt idx="13">
                  <c:v>1.4331173915076021</c:v>
                </c:pt>
                <c:pt idx="14">
                  <c:v>-1.6616067615701959</c:v>
                </c:pt>
                <c:pt idx="15">
                  <c:v>-2.3114455103577249</c:v>
                </c:pt>
                <c:pt idx="16">
                  <c:v>-1.1421161632468479</c:v>
                </c:pt>
                <c:pt idx="17">
                  <c:v>-0.15624832163441049</c:v>
                </c:pt>
                <c:pt idx="18">
                  <c:v>-1.2106764773670908</c:v>
                </c:pt>
                <c:pt idx="19">
                  <c:v>-0.70663283812972644</c:v>
                </c:pt>
                <c:pt idx="20">
                  <c:v>-0.22480863575465382</c:v>
                </c:pt>
                <c:pt idx="21">
                  <c:v>-0.52317133263128823</c:v>
                </c:pt>
                <c:pt idx="22">
                  <c:v>8.0326538898287003E-2</c:v>
                </c:pt>
                <c:pt idx="23">
                  <c:v>0.2106746893624678</c:v>
                </c:pt>
                <c:pt idx="24">
                  <c:v>0.27923500348271024</c:v>
                </c:pt>
              </c:numCache>
            </c:numRef>
          </c:yVal>
          <c:smooth val="0"/>
        </c:ser>
        <c:ser>
          <c:idx val="1"/>
          <c:order val="1"/>
          <c:tx>
            <c:v>I. versicolor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II'!$BO$43:$BO$67</c:f>
              <c:numCache>
                <c:formatCode>0.000</c:formatCode>
                <c:ptCount val="25"/>
                <c:pt idx="0">
                  <c:v>1.8240370183285568</c:v>
                </c:pt>
                <c:pt idx="1">
                  <c:v>0.64196406055473054</c:v>
                </c:pt>
                <c:pt idx="2">
                  <c:v>1.9142316920790843</c:v>
                </c:pt>
                <c:pt idx="3">
                  <c:v>1.4537161243094725</c:v>
                </c:pt>
                <c:pt idx="4">
                  <c:v>1.9878035537016938</c:v>
                </c:pt>
                <c:pt idx="5">
                  <c:v>0.41170627666992499</c:v>
                </c:pt>
                <c:pt idx="6">
                  <c:v>0.15774506754626155</c:v>
                </c:pt>
                <c:pt idx="7">
                  <c:v>-1.5563666843852353E-2</c:v>
                </c:pt>
                <c:pt idx="8">
                  <c:v>1.8976088799511659</c:v>
                </c:pt>
                <c:pt idx="9">
                  <c:v>-0.28614768809543367</c:v>
                </c:pt>
                <c:pt idx="10">
                  <c:v>1.3302758263031096</c:v>
                </c:pt>
                <c:pt idx="11">
                  <c:v>0.23131692916887125</c:v>
                </c:pt>
                <c:pt idx="12">
                  <c:v>2.7259837558338247</c:v>
                </c:pt>
                <c:pt idx="13">
                  <c:v>0.91254808180631031</c:v>
                </c:pt>
                <c:pt idx="14">
                  <c:v>-7.2512716338545308E-2</c:v>
                </c:pt>
                <c:pt idx="15">
                  <c:v>1.5202073728211416</c:v>
                </c:pt>
                <c:pt idx="16">
                  <c:v>-0.35971954971804349</c:v>
                </c:pt>
                <c:pt idx="17">
                  <c:v>0.89592526967839226</c:v>
                </c:pt>
                <c:pt idx="18">
                  <c:v>3.1200080750917674</c:v>
                </c:pt>
                <c:pt idx="19">
                  <c:v>1.0763146171794462</c:v>
                </c:pt>
                <c:pt idx="20">
                  <c:v>-0.34309673759012504</c:v>
                </c:pt>
                <c:pt idx="21">
                  <c:v>1.1997549151858085</c:v>
                </c:pt>
                <c:pt idx="22">
                  <c:v>2.4553997345822447</c:v>
                </c:pt>
                <c:pt idx="23">
                  <c:v>1.1997549151858085</c:v>
                </c:pt>
                <c:pt idx="24">
                  <c:v>1.5035845606932252</c:v>
                </c:pt>
              </c:numCache>
            </c:numRef>
          </c:xVal>
          <c:yVal>
            <c:numRef>
              <c:f>'Groups II'!$BP$43:$BP$67</c:f>
              <c:numCache>
                <c:formatCode>0.000</c:formatCode>
                <c:ptCount val="25"/>
                <c:pt idx="0">
                  <c:v>-1.2020019960574126</c:v>
                </c:pt>
                <c:pt idx="1">
                  <c:v>-0.69795835682004947</c:v>
                </c:pt>
                <c:pt idx="2">
                  <c:v>-0.93453321735274686</c:v>
                </c:pt>
                <c:pt idx="3">
                  <c:v>1.7092606515219468</c:v>
                </c:pt>
                <c:pt idx="4">
                  <c:v>-4.8119608032520467E-2</c:v>
                </c:pt>
                <c:pt idx="5">
                  <c:v>0.62393857761729765</c:v>
                </c:pt>
                <c:pt idx="6">
                  <c:v>-0.79741258911225998</c:v>
                </c:pt>
                <c:pt idx="7">
                  <c:v>2.0298427852608709</c:v>
                </c:pt>
                <c:pt idx="8">
                  <c:v>-0.31558838673718637</c:v>
                </c:pt>
                <c:pt idx="9">
                  <c:v>1.2274364491468723</c:v>
                </c:pt>
                <c:pt idx="10">
                  <c:v>2.6796815340483997</c:v>
                </c:pt>
                <c:pt idx="11">
                  <c:v>8.9001020207964951E-2</c:v>
                </c:pt>
                <c:pt idx="12">
                  <c:v>1.4726857909892486</c:v>
                </c:pt>
                <c:pt idx="13">
                  <c:v>0.10444797929394997</c:v>
                </c:pt>
                <c:pt idx="14">
                  <c:v>0.52448434532508648</c:v>
                </c:pt>
                <c:pt idx="15">
                  <c:v>-0.76651867094029236</c:v>
                </c:pt>
                <c:pt idx="16">
                  <c:v>0.34102283982664738</c:v>
                </c:pt>
                <c:pt idx="17">
                  <c:v>0.72339280990950883</c:v>
                </c:pt>
                <c:pt idx="18">
                  <c:v>1.3046712445767938</c:v>
                </c:pt>
                <c:pt idx="19">
                  <c:v>1.2583303673188417</c:v>
                </c:pt>
                <c:pt idx="20">
                  <c:v>-0.27792199078891305</c:v>
                </c:pt>
                <c:pt idx="21">
                  <c:v>0.28790948479238898</c:v>
                </c:pt>
                <c:pt idx="22">
                  <c:v>0.67027945487525054</c:v>
                </c:pt>
                <c:pt idx="23">
                  <c:v>0.28790948479238898</c:v>
                </c:pt>
                <c:pt idx="24">
                  <c:v>-0.14757384032473242</c:v>
                </c:pt>
              </c:numCache>
            </c:numRef>
          </c:yVal>
          <c:smooth val="0"/>
        </c:ser>
        <c:ser>
          <c:idx val="2"/>
          <c:order val="2"/>
          <c:tx>
            <c:v>I. virginica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II'!$BS$43:$BS$67</c:f>
              <c:numCache>
                <c:formatCode>0.000</c:formatCode>
                <c:ptCount val="25"/>
                <c:pt idx="0">
                  <c:v>0.15774506754626155</c:v>
                </c:pt>
                <c:pt idx="1">
                  <c:v>0.89592526967839226</c:v>
                </c:pt>
                <c:pt idx="2">
                  <c:v>2.5954628447165238</c:v>
                </c:pt>
                <c:pt idx="3">
                  <c:v>1.3065724010642528</c:v>
                </c:pt>
                <c:pt idx="4">
                  <c:v>1.4133898869426975</c:v>
                </c:pt>
                <c:pt idx="5">
                  <c:v>3.5805236428613791</c:v>
                </c:pt>
                <c:pt idx="6">
                  <c:v>-0.30277050022335023</c:v>
                </c:pt>
                <c:pt idx="7">
                  <c:v>3.2766939973539642</c:v>
                </c:pt>
                <c:pt idx="8">
                  <c:v>3.2434483730981296</c:v>
                </c:pt>
                <c:pt idx="9">
                  <c:v>1.0692340040685078</c:v>
                </c:pt>
                <c:pt idx="10">
                  <c:v>0.83897622018370122</c:v>
                </c:pt>
                <c:pt idx="11">
                  <c:v>2.0779982274522202</c:v>
                </c:pt>
                <c:pt idx="12">
                  <c:v>2.0044263658296102</c:v>
                </c:pt>
                <c:pt idx="13">
                  <c:v>1.2733267768084182</c:v>
                </c:pt>
                <c:pt idx="14">
                  <c:v>0.60871843629889544</c:v>
                </c:pt>
                <c:pt idx="15">
                  <c:v>0.64196406055473054</c:v>
                </c:pt>
                <c:pt idx="16">
                  <c:v>1.4133898869426975</c:v>
                </c:pt>
                <c:pt idx="17">
                  <c:v>1.4798811354543684</c:v>
                </c:pt>
                <c:pt idx="18">
                  <c:v>4.9263631360083426</c:v>
                </c:pt>
                <c:pt idx="19">
                  <c:v>2.7259837558338247</c:v>
                </c:pt>
                <c:pt idx="20">
                  <c:v>1.6270248586995864</c:v>
                </c:pt>
                <c:pt idx="21">
                  <c:v>0.21469411704095284</c:v>
                </c:pt>
                <c:pt idx="22">
                  <c:v>4.3519494692493472</c:v>
                </c:pt>
                <c:pt idx="23">
                  <c:v>1.880986067823248</c:v>
                </c:pt>
                <c:pt idx="24">
                  <c:v>0.94579370606214663</c:v>
                </c:pt>
              </c:numCache>
            </c:numRef>
          </c:xVal>
          <c:yVal>
            <c:numRef>
              <c:f>'Groups II'!$BT$43:$BT$67</c:f>
              <c:numCache>
                <c:formatCode>0.000</c:formatCode>
                <c:ptCount val="25"/>
                <c:pt idx="0">
                  <c:v>-0.79741258911225998</c:v>
                </c:pt>
                <c:pt idx="1">
                  <c:v>0.72339280990950883</c:v>
                </c:pt>
                <c:pt idx="2">
                  <c:v>-0.91908625826676182</c:v>
                </c:pt>
                <c:pt idx="3">
                  <c:v>-6.3566567118504724E-2</c:v>
                </c:pt>
                <c:pt idx="4">
                  <c:v>-0.41504261902939854</c:v>
                </c:pt>
                <c:pt idx="5">
                  <c:v>-1.3391226242978982</c:v>
                </c:pt>
                <c:pt idx="6">
                  <c:v>1.8463812797624322</c:v>
                </c:pt>
                <c:pt idx="7">
                  <c:v>-0.90363929918077768</c:v>
                </c:pt>
                <c:pt idx="8">
                  <c:v>0.33425036205034109</c:v>
                </c:pt>
                <c:pt idx="9">
                  <c:v>-2.1038625644636229</c:v>
                </c:pt>
                <c:pt idx="10">
                  <c:v>-0.7819656300262765</c:v>
                </c:pt>
                <c:pt idx="11">
                  <c:v>0.21934917067214477</c:v>
                </c:pt>
                <c:pt idx="12">
                  <c:v>-0.66706443864808029</c:v>
                </c:pt>
                <c:pt idx="13">
                  <c:v>1.1743230941126139</c:v>
                </c:pt>
                <c:pt idx="14">
                  <c:v>0.53993130441107073</c:v>
                </c:pt>
                <c:pt idx="15">
                  <c:v>-0.69795835682004947</c:v>
                </c:pt>
                <c:pt idx="16">
                  <c:v>-0.41504261902939854</c:v>
                </c:pt>
                <c:pt idx="17">
                  <c:v>-2.8908219414916365</c:v>
                </c:pt>
                <c:pt idx="18">
                  <c:v>-0.68928387551037118</c:v>
                </c:pt>
                <c:pt idx="19">
                  <c:v>1.4726857909892486</c:v>
                </c:pt>
                <c:pt idx="20">
                  <c:v>-1.1179947228511862</c:v>
                </c:pt>
                <c:pt idx="21">
                  <c:v>0.70794585082352546</c:v>
                </c:pt>
                <c:pt idx="22">
                  <c:v>-1.056206886507248</c:v>
                </c:pt>
                <c:pt idx="23">
                  <c:v>0.30335644387837246</c:v>
                </c:pt>
                <c:pt idx="24">
                  <c:v>-1.1334416819371695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69592"/>
        <c:axId val="557668024"/>
      </c:scatterChart>
      <c:valAx>
        <c:axId val="557669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CV-1 (97.76%)</a:t>
                </a:r>
              </a:p>
            </c:rich>
          </c:tx>
          <c:layout>
            <c:manualLayout>
              <c:xMode val="edge"/>
              <c:yMode val="edge"/>
              <c:x val="0.37587006960556846"/>
              <c:y val="0.9265033407572382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68024"/>
        <c:crossesAt val="-6"/>
        <c:crossBetween val="midCat"/>
        <c:majorUnit val="3"/>
        <c:minorUnit val="3"/>
      </c:valAx>
      <c:valAx>
        <c:axId val="557668024"/>
        <c:scaling>
          <c:orientation val="minMax"/>
          <c:max val="6"/>
          <c:min val="-6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CV-2 (2.24%)</a:t>
                </a:r>
              </a:p>
            </c:rich>
          </c:tx>
          <c:layout>
            <c:manualLayout>
              <c:xMode val="edge"/>
              <c:yMode val="edge"/>
              <c:x val="4.1763341067285381E-2"/>
              <c:y val="0.360801781737193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69592"/>
        <c:crossesAt val="-6"/>
        <c:crossBetween val="midCat"/>
        <c:majorUnit val="3"/>
        <c:minorUnit val="3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252900232018559"/>
          <c:y val="8.2405345211581285E-2"/>
          <c:w val="0.18097447795823665"/>
          <c:h val="0.129175946547884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98186347534966"/>
          <c:y val="5.7279236276849645E-2"/>
          <c:w val="0.63657551309207061"/>
          <c:h val="0.7995226730310262"/>
        </c:manualLayout>
      </c:layout>
      <c:scatterChart>
        <c:scatterStyle val="lineMarker"/>
        <c:varyColors val="0"/>
        <c:ser>
          <c:idx val="0"/>
          <c:order val="0"/>
          <c:tx>
            <c:v>I. setosa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ABEA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II'!$AP$95:$AP$119</c:f>
              <c:numCache>
                <c:formatCode>0.000</c:formatCode>
                <c:ptCount val="25"/>
                <c:pt idx="0">
                  <c:v>-0.99520399999999998</c:v>
                </c:pt>
                <c:pt idx="1">
                  <c:v>-0.86750399999999983</c:v>
                </c:pt>
                <c:pt idx="2">
                  <c:v>-0.91750399999999988</c:v>
                </c:pt>
                <c:pt idx="3">
                  <c:v>-0.84700399999999987</c:v>
                </c:pt>
                <c:pt idx="4">
                  <c:v>-1.0101039999999999</c:v>
                </c:pt>
                <c:pt idx="5">
                  <c:v>-0.95460399999999979</c:v>
                </c:pt>
                <c:pt idx="6">
                  <c:v>-0.88830399999999976</c:v>
                </c:pt>
                <c:pt idx="7">
                  <c:v>-0.94490399999999974</c:v>
                </c:pt>
                <c:pt idx="8">
                  <c:v>-0.80700399999999983</c:v>
                </c:pt>
                <c:pt idx="9">
                  <c:v>-0.9162039999999998</c:v>
                </c:pt>
                <c:pt idx="10">
                  <c:v>-1.0428039999999998</c:v>
                </c:pt>
                <c:pt idx="11">
                  <c:v>-0.90950399999999987</c:v>
                </c:pt>
                <c:pt idx="12">
                  <c:v>-0.90630399999999978</c:v>
                </c:pt>
                <c:pt idx="13">
                  <c:v>-0.92890399999999973</c:v>
                </c:pt>
                <c:pt idx="14">
                  <c:v>-1.2013039999999999</c:v>
                </c:pt>
                <c:pt idx="15">
                  <c:v>-1.1303039999999998</c:v>
                </c:pt>
                <c:pt idx="16">
                  <c:v>-1.0354039999999998</c:v>
                </c:pt>
                <c:pt idx="17">
                  <c:v>-0.94880399999999987</c:v>
                </c:pt>
                <c:pt idx="18">
                  <c:v>-1.0013039999999997</c:v>
                </c:pt>
                <c:pt idx="19">
                  <c:v>-0.99610399999999977</c:v>
                </c:pt>
                <c:pt idx="20">
                  <c:v>-0.93490399999999985</c:v>
                </c:pt>
                <c:pt idx="21">
                  <c:v>-0.92720399999999981</c:v>
                </c:pt>
                <c:pt idx="22">
                  <c:v>-1.0605039999999999</c:v>
                </c:pt>
                <c:pt idx="23">
                  <c:v>-0.75040399999999974</c:v>
                </c:pt>
                <c:pt idx="24">
                  <c:v>-0.84890399999999988</c:v>
                </c:pt>
              </c:numCache>
            </c:numRef>
          </c:xVal>
          <c:yVal>
            <c:numRef>
              <c:f>'Groups II'!$AQ$95:$AQ$119</c:f>
              <c:numCache>
                <c:formatCode>0.000</c:formatCode>
                <c:ptCount val="25"/>
                <c:pt idx="0">
                  <c:v>1.3433333333333408E-2</c:v>
                </c:pt>
                <c:pt idx="1">
                  <c:v>-0.11546666666666663</c:v>
                </c:pt>
                <c:pt idx="2">
                  <c:v>-3.6566666666666581E-2</c:v>
                </c:pt>
                <c:pt idx="3">
                  <c:v>-6.2466666666666559E-2</c:v>
                </c:pt>
                <c:pt idx="4">
                  <c:v>5.1533333333333375E-2</c:v>
                </c:pt>
                <c:pt idx="5">
                  <c:v>0.14513333333333331</c:v>
                </c:pt>
                <c:pt idx="6">
                  <c:v>5.2633333333333421E-2</c:v>
                </c:pt>
                <c:pt idx="7">
                  <c:v>-9.7666666666666457E-3</c:v>
                </c:pt>
                <c:pt idx="8">
                  <c:v>-0.10076666666666667</c:v>
                </c:pt>
                <c:pt idx="9">
                  <c:v>-0.11336666666666656</c:v>
                </c:pt>
                <c:pt idx="10">
                  <c:v>4.2933333333333379E-2</c:v>
                </c:pt>
                <c:pt idx="11">
                  <c:v>5.1333333333333231E-3</c:v>
                </c:pt>
                <c:pt idx="12">
                  <c:v>-0.13116666666666654</c:v>
                </c:pt>
                <c:pt idx="13">
                  <c:v>-7.9066666666666563E-2</c:v>
                </c:pt>
                <c:pt idx="14">
                  <c:v>0.1037333333333334</c:v>
                </c:pt>
                <c:pt idx="15">
                  <c:v>0.2706333333333335</c:v>
                </c:pt>
                <c:pt idx="16">
                  <c:v>0.15593333333333334</c:v>
                </c:pt>
                <c:pt idx="17">
                  <c:v>3.793333333333343E-2</c:v>
                </c:pt>
                <c:pt idx="18">
                  <c:v>6.4933333333333343E-2</c:v>
                </c:pt>
                <c:pt idx="19">
                  <c:v>0.12313333333333343</c:v>
                </c:pt>
                <c:pt idx="20">
                  <c:v>-5.0366666666666698E-2</c:v>
                </c:pt>
                <c:pt idx="21">
                  <c:v>0.11833333333333348</c:v>
                </c:pt>
                <c:pt idx="22">
                  <c:v>9.7533333333333472E-2</c:v>
                </c:pt>
                <c:pt idx="23">
                  <c:v>2.0233333333333381E-2</c:v>
                </c:pt>
                <c:pt idx="24">
                  <c:v>-2.9666666666666452E-3</c:v>
                </c:pt>
              </c:numCache>
            </c:numRef>
          </c:yVal>
          <c:smooth val="0"/>
        </c:ser>
        <c:ser>
          <c:idx val="1"/>
          <c:order val="1"/>
          <c:tx>
            <c:v>I. versicolor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II'!$AP$120:$AP$144</c:f>
              <c:numCache>
                <c:formatCode>0.000</c:formatCode>
                <c:ptCount val="25"/>
                <c:pt idx="0">
                  <c:v>0.15129600000000021</c:v>
                </c:pt>
                <c:pt idx="1">
                  <c:v>0.20289600000000016</c:v>
                </c:pt>
                <c:pt idx="2">
                  <c:v>0.26819600000000021</c:v>
                </c:pt>
                <c:pt idx="3">
                  <c:v>0.2799960000000003</c:v>
                </c:pt>
                <c:pt idx="4">
                  <c:v>0.30549600000000021</c:v>
                </c:pt>
                <c:pt idx="5">
                  <c:v>0.25329600000000024</c:v>
                </c:pt>
                <c:pt idx="6">
                  <c:v>0.27479600000000037</c:v>
                </c:pt>
                <c:pt idx="7">
                  <c:v>2.2496000000000183E-2</c:v>
                </c:pt>
                <c:pt idx="8">
                  <c:v>0.18259600000000023</c:v>
                </c:pt>
                <c:pt idx="9">
                  <c:v>0.23899600000000013</c:v>
                </c:pt>
                <c:pt idx="10">
                  <c:v>0.1452960000000002</c:v>
                </c:pt>
                <c:pt idx="11">
                  <c:v>0.22529600000000022</c:v>
                </c:pt>
                <c:pt idx="12">
                  <c:v>0.12529600000000019</c:v>
                </c:pt>
                <c:pt idx="13">
                  <c:v>0.28719600000000028</c:v>
                </c:pt>
                <c:pt idx="14">
                  <c:v>5.6596000000000292E-2</c:v>
                </c:pt>
                <c:pt idx="15">
                  <c:v>0.13599600000000023</c:v>
                </c:pt>
                <c:pt idx="16">
                  <c:v>0.30869600000000025</c:v>
                </c:pt>
                <c:pt idx="17">
                  <c:v>4.8196000000000114E-2</c:v>
                </c:pt>
                <c:pt idx="18">
                  <c:v>0.44309600000000016</c:v>
                </c:pt>
                <c:pt idx="19">
                  <c:v>0.11439600000000028</c:v>
                </c:pt>
                <c:pt idx="20">
                  <c:v>0.44069600000000014</c:v>
                </c:pt>
                <c:pt idx="21">
                  <c:v>0.12189600000000031</c:v>
                </c:pt>
                <c:pt idx="22">
                  <c:v>0.44879600000000031</c:v>
                </c:pt>
                <c:pt idx="23">
                  <c:v>0.21689600000000031</c:v>
                </c:pt>
                <c:pt idx="24">
                  <c:v>0.13719600000000021</c:v>
                </c:pt>
              </c:numCache>
            </c:numRef>
          </c:xVal>
          <c:yVal>
            <c:numRef>
              <c:f>'Groups II'!$AQ$120:$AQ$144</c:f>
              <c:numCache>
                <c:formatCode>0.000</c:formatCode>
                <c:ptCount val="25"/>
                <c:pt idx="0">
                  <c:v>-3.676666666666658E-2</c:v>
                </c:pt>
                <c:pt idx="1">
                  <c:v>4.5933333333333423E-2</c:v>
                </c:pt>
                <c:pt idx="2">
                  <c:v>-3.8166666666666599E-2</c:v>
                </c:pt>
                <c:pt idx="3">
                  <c:v>-0.17406666666666662</c:v>
                </c:pt>
                <c:pt idx="4">
                  <c:v>-8.2766666666666655E-2</c:v>
                </c:pt>
                <c:pt idx="5">
                  <c:v>-5.8666666666666652E-2</c:v>
                </c:pt>
                <c:pt idx="6">
                  <c:v>0.10313333333333338</c:v>
                </c:pt>
                <c:pt idx="7">
                  <c:v>-0.14656666666666662</c:v>
                </c:pt>
                <c:pt idx="8">
                  <c:v>-0.11126666666666657</c:v>
                </c:pt>
                <c:pt idx="9">
                  <c:v>-3.2666666666665914E-3</c:v>
                </c:pt>
                <c:pt idx="10">
                  <c:v>-0.27796666666666658</c:v>
                </c:pt>
                <c:pt idx="11">
                  <c:v>3.9433333333333362E-2</c:v>
                </c:pt>
                <c:pt idx="12">
                  <c:v>-0.32086666666666652</c:v>
                </c:pt>
                <c:pt idx="13">
                  <c:v>-4.5466666666666621E-2</c:v>
                </c:pt>
                <c:pt idx="14">
                  <c:v>3.7333333333334114E-3</c:v>
                </c:pt>
                <c:pt idx="15">
                  <c:v>-3.1566666666666625E-2</c:v>
                </c:pt>
                <c:pt idx="16">
                  <c:v>5.7733333333333428E-2</c:v>
                </c:pt>
                <c:pt idx="17">
                  <c:v>-0.15946666666666653</c:v>
                </c:pt>
                <c:pt idx="18">
                  <c:v>-0.22946666666666654</c:v>
                </c:pt>
                <c:pt idx="19">
                  <c:v>-0.17056666666666653</c:v>
                </c:pt>
                <c:pt idx="20">
                  <c:v>0.15533333333333343</c:v>
                </c:pt>
                <c:pt idx="21">
                  <c:v>-8.0366666666666614E-2</c:v>
                </c:pt>
                <c:pt idx="22">
                  <c:v>-0.1611666666666666</c:v>
                </c:pt>
                <c:pt idx="23">
                  <c:v>-0.12376666666666664</c:v>
                </c:pt>
                <c:pt idx="24">
                  <c:v>-8.5566666666666652E-2</c:v>
                </c:pt>
              </c:numCache>
            </c:numRef>
          </c:yVal>
          <c:smooth val="0"/>
        </c:ser>
        <c:ser>
          <c:idx val="2"/>
          <c:order val="2"/>
          <c:tx>
            <c:v>I. virginica</c:v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'Groups II'!$AP$145:$AP$169</c:f>
              <c:numCache>
                <c:formatCode>0.000</c:formatCode>
                <c:ptCount val="25"/>
                <c:pt idx="0">
                  <c:v>0.9549960000000004</c:v>
                </c:pt>
                <c:pt idx="1">
                  <c:v>0.66779600000000006</c:v>
                </c:pt>
                <c:pt idx="2">
                  <c:v>0.75589600000000035</c:v>
                </c:pt>
                <c:pt idx="3">
                  <c:v>0.63939600000000019</c:v>
                </c:pt>
                <c:pt idx="4">
                  <c:v>0.82769600000000032</c:v>
                </c:pt>
                <c:pt idx="5">
                  <c:v>0.85929600000000028</c:v>
                </c:pt>
                <c:pt idx="6">
                  <c:v>0.56719600000000014</c:v>
                </c:pt>
                <c:pt idx="7">
                  <c:v>0.7047960000000002</c:v>
                </c:pt>
                <c:pt idx="8">
                  <c:v>0.73939600000000016</c:v>
                </c:pt>
                <c:pt idx="9">
                  <c:v>0.83929600000000026</c:v>
                </c:pt>
                <c:pt idx="10">
                  <c:v>0.54849600000000009</c:v>
                </c:pt>
                <c:pt idx="11">
                  <c:v>0.66259600000000018</c:v>
                </c:pt>
                <c:pt idx="12">
                  <c:v>0.69789600000000029</c:v>
                </c:pt>
                <c:pt idx="13">
                  <c:v>0.74659600000000026</c:v>
                </c:pt>
                <c:pt idx="14">
                  <c:v>0.87729600000000019</c:v>
                </c:pt>
                <c:pt idx="15">
                  <c:v>0.73569600000000013</c:v>
                </c:pt>
                <c:pt idx="16">
                  <c:v>0.58149600000000023</c:v>
                </c:pt>
                <c:pt idx="17">
                  <c:v>0.7382960000000004</c:v>
                </c:pt>
                <c:pt idx="18">
                  <c:v>1.0950960000000003</c:v>
                </c:pt>
                <c:pt idx="19">
                  <c:v>0.55929600000000013</c:v>
                </c:pt>
                <c:pt idx="20">
                  <c:v>0.77849600000000008</c:v>
                </c:pt>
                <c:pt idx="21">
                  <c:v>0.66649600000000042</c:v>
                </c:pt>
                <c:pt idx="22">
                  <c:v>0.87049600000000038</c:v>
                </c:pt>
                <c:pt idx="23">
                  <c:v>0.54299600000000026</c:v>
                </c:pt>
                <c:pt idx="24">
                  <c:v>0.67839600000000033</c:v>
                </c:pt>
              </c:numCache>
            </c:numRef>
          </c:xVal>
          <c:yVal>
            <c:numRef>
              <c:f>'Groups II'!$AQ$145:$AQ$169</c:f>
              <c:numCache>
                <c:formatCode>0.000</c:formatCode>
                <c:ptCount val="25"/>
                <c:pt idx="0">
                  <c:v>0.28853333333333336</c:v>
                </c:pt>
                <c:pt idx="1">
                  <c:v>3.4033333333333471E-2</c:v>
                </c:pt>
                <c:pt idx="2">
                  <c:v>3.4933333333333455E-2</c:v>
                </c:pt>
                <c:pt idx="3">
                  <c:v>1.0633333333333411E-2</c:v>
                </c:pt>
                <c:pt idx="4">
                  <c:v>0.11493333333333344</c:v>
                </c:pt>
                <c:pt idx="5">
                  <c:v>-2.7966666666666529E-2</c:v>
                </c:pt>
                <c:pt idx="6">
                  <c:v>2.1833333333333371E-2</c:v>
                </c:pt>
                <c:pt idx="7">
                  <c:v>-9.6266666666666584E-2</c:v>
                </c:pt>
                <c:pt idx="8">
                  <c:v>-0.14716666666666656</c:v>
                </c:pt>
                <c:pt idx="9">
                  <c:v>0.29453333333333342</c:v>
                </c:pt>
                <c:pt idx="10">
                  <c:v>0.14343333333333347</c:v>
                </c:pt>
                <c:pt idx="11">
                  <c:v>-2.4166666666666586E-2</c:v>
                </c:pt>
                <c:pt idx="12">
                  <c:v>7.2133333333333438E-2</c:v>
                </c:pt>
                <c:pt idx="13">
                  <c:v>1.1433333333333406E-2</c:v>
                </c:pt>
                <c:pt idx="14">
                  <c:v>0.18583333333333335</c:v>
                </c:pt>
                <c:pt idx="15">
                  <c:v>0.22033333333333338</c:v>
                </c:pt>
                <c:pt idx="16">
                  <c:v>2.5033333333333421E-2</c:v>
                </c:pt>
                <c:pt idx="17">
                  <c:v>0.21943333333333337</c:v>
                </c:pt>
                <c:pt idx="18">
                  <c:v>-0.11306666666666665</c:v>
                </c:pt>
                <c:pt idx="19">
                  <c:v>-0.22536666666666649</c:v>
                </c:pt>
                <c:pt idx="20">
                  <c:v>0.16553333333333337</c:v>
                </c:pt>
                <c:pt idx="21">
                  <c:v>0.11083333333333337</c:v>
                </c:pt>
                <c:pt idx="22">
                  <c:v>-0.12256666666666666</c:v>
                </c:pt>
                <c:pt idx="23">
                  <c:v>-2.9066666666666546E-2</c:v>
                </c:pt>
                <c:pt idx="24">
                  <c:v>0.16343333333333335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74688"/>
        <c:axId val="557671160"/>
      </c:scatterChart>
      <c:valAx>
        <c:axId val="557674688"/>
        <c:scaling>
          <c:orientation val="minMax"/>
          <c:max val="2"/>
          <c:min val="-2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CV-1 (</a:t>
                </a: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Symbol"/>
                    <a:cs typeface="Arial"/>
                  </a:rPr>
                  <a:t>l</a:t>
                </a: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= 99.37%)</a:t>
                </a:r>
              </a:p>
            </c:rich>
          </c:tx>
          <c:layout>
            <c:manualLayout>
              <c:xMode val="edge"/>
              <c:yMode val="edge"/>
              <c:x val="0.34490818709352189"/>
              <c:y val="0.921241050119331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71160"/>
        <c:crossesAt val="-0.5"/>
        <c:crossBetween val="midCat"/>
        <c:majorUnit val="1"/>
        <c:minorUnit val="1"/>
      </c:valAx>
      <c:valAx>
        <c:axId val="557671160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CV-2 (</a:t>
                </a: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Symbol"/>
                    <a:cs typeface="Arial"/>
                  </a:rPr>
                  <a:t>l</a:t>
                </a:r>
                <a:r>
                  <a:rPr lang="en-GB" sz="1025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= 0.23%)</a:t>
                </a:r>
              </a:p>
            </c:rich>
          </c:tx>
          <c:layout>
            <c:manualLayout>
              <c:xMode val="edge"/>
              <c:yMode val="edge"/>
              <c:x val="3.2407480666505416E-2"/>
              <c:y val="0.319809069212410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74688"/>
        <c:crossesAt val="-2"/>
        <c:crossBetween val="midCat"/>
        <c:majorUnit val="0.25"/>
        <c:minorUnit val="0.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81524390381743"/>
          <c:y val="0.71360381861575184"/>
          <c:w val="0.18055596371338731"/>
          <c:h val="0.1384248210023866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Raw Count Data</a:t>
            </a:r>
          </a:p>
        </c:rich>
      </c:tx>
      <c:layout>
        <c:manualLayout>
          <c:xMode val="edge"/>
          <c:yMode val="edge"/>
          <c:x val="0.31205781824100398"/>
          <c:y val="4.2372881355932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22058268430949"/>
          <c:y val="0.24152542372881355"/>
          <c:w val="0.7411373183223845"/>
          <c:h val="0.4915254237288135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2088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Blocks'!$H$66:$H$76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cat>
          <c:val>
            <c:numRef>
              <c:f>'Data Blocks'!$I$66:$I$76</c:f>
              <c:numCache>
                <c:formatCode>General</c:formatCode>
                <c:ptCount val="11"/>
                <c:pt idx="0">
                  <c:v>1</c:v>
                </c:pt>
                <c:pt idx="1">
                  <c:v>37</c:v>
                </c:pt>
                <c:pt idx="2">
                  <c:v>26</c:v>
                </c:pt>
                <c:pt idx="3">
                  <c:v>26</c:v>
                </c:pt>
                <c:pt idx="4">
                  <c:v>18</c:v>
                </c:pt>
                <c:pt idx="5">
                  <c:v>22</c:v>
                </c:pt>
                <c:pt idx="6">
                  <c:v>3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380944"/>
        <c:axId val="556381728"/>
      </c:barChart>
      <c:catAx>
        <c:axId val="55638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Range</a:t>
                </a:r>
              </a:p>
            </c:rich>
          </c:tx>
          <c:layout>
            <c:manualLayout>
              <c:xMode val="edge"/>
              <c:yMode val="edge"/>
              <c:x val="0.51064006621255198"/>
              <c:y val="0.84745762711864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8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638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layout>
            <c:manualLayout>
              <c:xMode val="edge"/>
              <c:yMode val="edge"/>
              <c:x val="5.6737785134727999E-2"/>
              <c:y val="0.35593220338983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80944"/>
        <c:crosses val="autoZero"/>
        <c:crossBetween val="between"/>
        <c:majorUnit val="10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SQRT Count Data</a:t>
            </a:r>
          </a:p>
        </c:rich>
      </c:tx>
      <c:layout>
        <c:manualLayout>
          <c:xMode val="edge"/>
          <c:yMode val="edge"/>
          <c:x val="0.297873371957322"/>
          <c:y val="3.8626609442060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22058268430949"/>
          <c:y val="0.24463519313304721"/>
          <c:w val="0.7411373183223845"/>
          <c:h val="0.4420600858369098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F2088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Blocks'!$H$82:$H$94</c:f>
              <c:numCache>
                <c:formatCode>0.00</c:formatCode>
                <c:ptCount val="13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1.2000000000000002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3.1999999999999997</c:v>
                </c:pt>
                <c:pt idx="9">
                  <c:v>3.5999999999999996</c:v>
                </c:pt>
                <c:pt idx="10">
                  <c:v>3.9999999999999996</c:v>
                </c:pt>
                <c:pt idx="11">
                  <c:v>4.4000000000000004</c:v>
                </c:pt>
                <c:pt idx="12">
                  <c:v>4.8</c:v>
                </c:pt>
              </c:numCache>
            </c:numRef>
          </c:cat>
          <c:val>
            <c:numRef>
              <c:f>'Data Blocks'!$I$82:$I$94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17</c:v>
                </c:pt>
                <c:pt idx="4">
                  <c:v>20</c:v>
                </c:pt>
                <c:pt idx="5">
                  <c:v>15</c:v>
                </c:pt>
                <c:pt idx="6">
                  <c:v>27</c:v>
                </c:pt>
                <c:pt idx="7">
                  <c:v>20</c:v>
                </c:pt>
                <c:pt idx="8">
                  <c:v>18</c:v>
                </c:pt>
                <c:pt idx="9">
                  <c:v>15</c:v>
                </c:pt>
                <c:pt idx="10">
                  <c:v>6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383688"/>
        <c:axId val="556392312"/>
      </c:barChart>
      <c:catAx>
        <c:axId val="556383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Range</a:t>
                </a:r>
              </a:p>
            </c:rich>
          </c:tx>
          <c:layout>
            <c:manualLayout>
              <c:xMode val="edge"/>
              <c:yMode val="edge"/>
              <c:x val="0.51064006621255198"/>
              <c:y val="0.845493562231759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92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6392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layout>
            <c:manualLayout>
              <c:xMode val="edge"/>
              <c:yMode val="edge"/>
              <c:x val="5.6737785134727999E-2"/>
              <c:y val="0.33047210300429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83688"/>
        <c:crosses val="autoZero"/>
        <c:crossBetween val="between"/>
        <c:majorUnit val="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27375195254412"/>
          <c:y val="6.1881188118811881E-2"/>
          <c:w val="0.781776411159536"/>
          <c:h val="0.7821782178217822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2088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'Data Blocks'!$T$52:$T$71</c:f>
              <c:numCache>
                <c:formatCode>0.000</c:formatCode>
                <c:ptCount val="20"/>
                <c:pt idx="0">
                  <c:v>-2.3134519810441163</c:v>
                </c:pt>
                <c:pt idx="1">
                  <c:v>-2.4915121639450328</c:v>
                </c:pt>
                <c:pt idx="2">
                  <c:v>1.1361906695051234</c:v>
                </c:pt>
                <c:pt idx="3">
                  <c:v>-1.6945417833514567</c:v>
                </c:pt>
                <c:pt idx="4">
                  <c:v>0.61961186975541205</c:v>
                </c:pt>
                <c:pt idx="5">
                  <c:v>0.81231391083248572</c:v>
                </c:pt>
                <c:pt idx="6">
                  <c:v>-0.75663262229565453</c:v>
                </c:pt>
                <c:pt idx="7">
                  <c:v>-0.26117203299165359</c:v>
                </c:pt>
                <c:pt idx="8">
                  <c:v>-0.46039684109696571</c:v>
                </c:pt>
                <c:pt idx="9">
                  <c:v>-2.1312753947138883</c:v>
                </c:pt>
                <c:pt idx="10">
                  <c:v>-0.77648543555187854</c:v>
                </c:pt>
                <c:pt idx="11">
                  <c:v>-0.72531449816276972</c:v>
                </c:pt>
                <c:pt idx="12">
                  <c:v>0.42301993975901575</c:v>
                </c:pt>
                <c:pt idx="13">
                  <c:v>1.5489926911927256</c:v>
                </c:pt>
                <c:pt idx="14">
                  <c:v>1.2245339521753509</c:v>
                </c:pt>
                <c:pt idx="15">
                  <c:v>2.182590309317312</c:v>
                </c:pt>
                <c:pt idx="16">
                  <c:v>-1.9560023807809486</c:v>
                </c:pt>
                <c:pt idx="17">
                  <c:v>0.7115642106742075</c:v>
                </c:pt>
                <c:pt idx="18">
                  <c:v>3.4416172679863735</c:v>
                </c:pt>
                <c:pt idx="19">
                  <c:v>1.4663522532721918</c:v>
                </c:pt>
              </c:numCache>
            </c:numRef>
          </c:xVal>
          <c:yVal>
            <c:numRef>
              <c:f>'Data Blocks'!$U$52:$U$71</c:f>
              <c:numCache>
                <c:formatCode>0.000</c:formatCode>
                <c:ptCount val="20"/>
                <c:pt idx="0">
                  <c:v>-1.3133924737889706</c:v>
                </c:pt>
                <c:pt idx="1">
                  <c:v>-1.2387077704003531</c:v>
                </c:pt>
                <c:pt idx="2">
                  <c:v>-2.3290674678105789</c:v>
                </c:pt>
                <c:pt idx="3">
                  <c:v>0.25187414493296678</c:v>
                </c:pt>
                <c:pt idx="4">
                  <c:v>-1.4697789358888882</c:v>
                </c:pt>
                <c:pt idx="5">
                  <c:v>2.8675404946092803E-2</c:v>
                </c:pt>
                <c:pt idx="6">
                  <c:v>1.1111394488646718</c:v>
                </c:pt>
                <c:pt idx="7">
                  <c:v>0.4753723352889821</c:v>
                </c:pt>
                <c:pt idx="8">
                  <c:v>-1.896455064434956</c:v>
                </c:pt>
                <c:pt idx="9">
                  <c:v>-0.62584373357260747</c:v>
                </c:pt>
                <c:pt idx="10">
                  <c:v>0.72755699049566314</c:v>
                </c:pt>
                <c:pt idx="11">
                  <c:v>-1.8743420156001425</c:v>
                </c:pt>
                <c:pt idx="12">
                  <c:v>-9.2000473030465629E-3</c:v>
                </c:pt>
                <c:pt idx="13">
                  <c:v>4.3937916621739816</c:v>
                </c:pt>
                <c:pt idx="14">
                  <c:v>-1.7226620491418749</c:v>
                </c:pt>
                <c:pt idx="15">
                  <c:v>1.2953457331460307</c:v>
                </c:pt>
                <c:pt idx="16">
                  <c:v>4.3137092554570211E-2</c:v>
                </c:pt>
                <c:pt idx="17">
                  <c:v>-1.2568803369404546</c:v>
                </c:pt>
                <c:pt idx="18">
                  <c:v>3.0156779713611757</c:v>
                </c:pt>
                <c:pt idx="19">
                  <c:v>2.3938724711841965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392704"/>
        <c:axId val="556384080"/>
      </c:scatterChart>
      <c:valAx>
        <c:axId val="55639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F1 Scores</a:t>
                </a:r>
              </a:p>
            </c:rich>
          </c:tx>
          <c:layout>
            <c:manualLayout>
              <c:xMode val="edge"/>
              <c:yMode val="edge"/>
              <c:x val="0.47961743015922453"/>
              <c:y val="0.9108910891089109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84080"/>
        <c:crossesAt val="-3"/>
        <c:crossBetween val="midCat"/>
      </c:valAx>
      <c:valAx>
        <c:axId val="55638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F2 Scores</a:t>
                </a:r>
              </a:p>
            </c:rich>
          </c:tx>
          <c:layout>
            <c:manualLayout>
              <c:xMode val="edge"/>
              <c:yMode val="edge"/>
              <c:x val="3.8369394412737963E-2"/>
              <c:y val="0.381188118811881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92704"/>
        <c:crossesAt val="-4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Variable Loadings</a:t>
            </a:r>
          </a:p>
        </c:rich>
      </c:tx>
      <c:layout>
        <c:manualLayout>
          <c:xMode val="edge"/>
          <c:yMode val="edge"/>
          <c:x val="0.35766508341194164"/>
          <c:y val="3.0434814914672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01741897006863"/>
          <c:y val="0.13913058246707549"/>
          <c:w val="0.77859065776749203"/>
          <c:h val="0.7347833886542424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'Rs &amp; Qs II'!$AS$102:$AS$108</c:f>
              <c:numCache>
                <c:formatCode>0.000</c:formatCode>
                <c:ptCount val="7"/>
                <c:pt idx="0">
                  <c:v>0.18158763886409035</c:v>
                </c:pt>
                <c:pt idx="1">
                  <c:v>0.11898961892436122</c:v>
                </c:pt>
                <c:pt idx="2">
                  <c:v>5.6189071577183773E-2</c:v>
                </c:pt>
                <c:pt idx="3">
                  <c:v>0.23136677443774309</c:v>
                </c:pt>
                <c:pt idx="4">
                  <c:v>0.15147741262626488</c:v>
                </c:pt>
                <c:pt idx="5">
                  <c:v>0.19462606681108505</c:v>
                </c:pt>
                <c:pt idx="6">
                  <c:v>6.5447679048308949E-2</c:v>
                </c:pt>
              </c:numCache>
            </c:numRef>
          </c:xVal>
          <c:yVal>
            <c:numRef>
              <c:f>'Rs &amp; Qs II'!$AT$102:$AT$108</c:f>
              <c:numCache>
                <c:formatCode>0.000</c:formatCode>
                <c:ptCount val="7"/>
                <c:pt idx="0">
                  <c:v>2.4203473741933632E-2</c:v>
                </c:pt>
                <c:pt idx="1">
                  <c:v>3.657165408281312E-2</c:v>
                </c:pt>
                <c:pt idx="2">
                  <c:v>3.9817861643769277E-2</c:v>
                </c:pt>
                <c:pt idx="3">
                  <c:v>5.3966305827857837E-2</c:v>
                </c:pt>
                <c:pt idx="4">
                  <c:v>-5.0747678938519537E-2</c:v>
                </c:pt>
                <c:pt idx="5">
                  <c:v>-6.4760864816374289E-2</c:v>
                </c:pt>
                <c:pt idx="6">
                  <c:v>-3.9089016059125715E-2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61360"/>
        <c:axId val="557655480"/>
      </c:scatterChart>
      <c:valAx>
        <c:axId val="55766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Correspond. Axis 1</a:t>
                </a:r>
              </a:p>
            </c:rich>
          </c:tx>
          <c:layout>
            <c:manualLayout>
              <c:xMode val="edge"/>
              <c:yMode val="edge"/>
              <c:x val="0.40146080791136307"/>
              <c:y val="0.915218362791230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55480"/>
        <c:crossesAt val="-0.08"/>
        <c:crossBetween val="midCat"/>
      </c:valAx>
      <c:valAx>
        <c:axId val="557655480"/>
        <c:scaling>
          <c:orientation val="minMax"/>
          <c:max val="0.08"/>
          <c:min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Correspond. Axis 2</a:t>
                </a:r>
              </a:p>
            </c:rich>
          </c:tx>
          <c:layout>
            <c:manualLayout>
              <c:xMode val="edge"/>
              <c:yMode val="edge"/>
              <c:x val="3.8929532888374599E-2"/>
              <c:y val="0.37173952502921731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61360"/>
        <c:crossesAt val="-0.08"/>
        <c:crossBetween val="midCat"/>
        <c:majorUnit val="0.04"/>
        <c:minorUnit val="4.0000000000000001E-3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R-Mode (Blue) and Q-Mode (Red) Scores</a:t>
            </a:r>
          </a:p>
        </c:rich>
      </c:tx>
      <c:layout>
        <c:manualLayout>
          <c:xMode val="edge"/>
          <c:yMode val="edge"/>
          <c:x val="0.17761599380320911"/>
          <c:y val="3.0303094356851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01741897006863"/>
          <c:y val="0.13852843134560874"/>
          <c:w val="0.77615756196196861"/>
          <c:h val="0.7359322915235464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'Rs &amp; Qs II'!$AS$118:$AS$148</c:f>
              <c:numCache>
                <c:formatCode>0.000</c:formatCode>
                <c:ptCount val="31"/>
                <c:pt idx="0">
                  <c:v>2.4203473741933632E-2</c:v>
                </c:pt>
                <c:pt idx="1">
                  <c:v>3.657165408281312E-2</c:v>
                </c:pt>
                <c:pt idx="2">
                  <c:v>3.9817861643769277E-2</c:v>
                </c:pt>
                <c:pt idx="3">
                  <c:v>5.3966305827857837E-2</c:v>
                </c:pt>
                <c:pt idx="4">
                  <c:v>-5.0747678938519537E-2</c:v>
                </c:pt>
                <c:pt idx="5">
                  <c:v>-6.4760864816374289E-2</c:v>
                </c:pt>
                <c:pt idx="6">
                  <c:v>-3.9089016059125715E-2</c:v>
                </c:pt>
                <c:pt idx="11" formatCode="0.0000">
                  <c:v>1.3227460845187699E-2</c:v>
                </c:pt>
                <c:pt idx="12" formatCode="0.0000">
                  <c:v>2.3897929345836059E-2</c:v>
                </c:pt>
                <c:pt idx="13" formatCode="0.0000">
                  <c:v>3.5450102322718578E-2</c:v>
                </c:pt>
                <c:pt idx="14" formatCode="0.0000">
                  <c:v>-1.8023076313519886E-2</c:v>
                </c:pt>
                <c:pt idx="15" formatCode="0.0000">
                  <c:v>-1.4489423415607267E-2</c:v>
                </c:pt>
                <c:pt idx="16" formatCode="0.0000">
                  <c:v>-1.095945712552277E-2</c:v>
                </c:pt>
                <c:pt idx="17" formatCode="0.0000">
                  <c:v>-9.7748693562774696E-3</c:v>
                </c:pt>
                <c:pt idx="18" formatCode="0.0000">
                  <c:v>-3.1599241883774479E-3</c:v>
                </c:pt>
                <c:pt idx="19" formatCode="0.0000">
                  <c:v>1.7869106504982357E-2</c:v>
                </c:pt>
                <c:pt idx="20" formatCode="0.0000">
                  <c:v>-5.4326838472468679E-3</c:v>
                </c:pt>
                <c:pt idx="21" formatCode="0.0000">
                  <c:v>3.3418834657507547E-3</c:v>
                </c:pt>
                <c:pt idx="22" formatCode="0.0000">
                  <c:v>1.5319450115064876E-2</c:v>
                </c:pt>
                <c:pt idx="23" formatCode="0.0000">
                  <c:v>2.7884697693600778E-3</c:v>
                </c:pt>
                <c:pt idx="24" formatCode="0.0000">
                  <c:v>-3.4576158884959768E-2</c:v>
                </c:pt>
                <c:pt idx="25" formatCode="0.0000">
                  <c:v>9.5772237505272536E-4</c:v>
                </c:pt>
                <c:pt idx="26" formatCode="0.0000">
                  <c:v>-7.3202789479213425E-3</c:v>
                </c:pt>
                <c:pt idx="27" formatCode="0.0000">
                  <c:v>2.4181578063698209E-3</c:v>
                </c:pt>
                <c:pt idx="28" formatCode="0.0000">
                  <c:v>1.9245904354877885E-2</c:v>
                </c:pt>
                <c:pt idx="29" formatCode="0.0000">
                  <c:v>-2.7851090463634647E-3</c:v>
                </c:pt>
                <c:pt idx="30" formatCode="0.0000">
                  <c:v>-2.8107073119591441E-2</c:v>
                </c:pt>
              </c:numCache>
            </c:numRef>
          </c:xVal>
          <c:yVal>
            <c:numRef>
              <c:f>'Rs &amp; Qs II'!$AT$118:$AT$148</c:f>
              <c:numCache>
                <c:formatCode>0.000</c:formatCode>
                <c:ptCount val="31"/>
                <c:pt idx="0">
                  <c:v>8.2495090763026625E-3</c:v>
                </c:pt>
                <c:pt idx="1">
                  <c:v>8.3108405464330324E-3</c:v>
                </c:pt>
                <c:pt idx="2">
                  <c:v>-2.1547171781110985E-2</c:v>
                </c:pt>
                <c:pt idx="3">
                  <c:v>5.6584678865863871E-3</c:v>
                </c:pt>
                <c:pt idx="4">
                  <c:v>1.0269855374432724E-2</c:v>
                </c:pt>
                <c:pt idx="5">
                  <c:v>2.7130554947599316E-2</c:v>
                </c:pt>
                <c:pt idx="6">
                  <c:v>-3.8029586005697009E-2</c:v>
                </c:pt>
              </c:numCache>
            </c:numRef>
          </c:yVal>
          <c:smooth val="0"/>
        </c:ser>
        <c:ser>
          <c:idx val="1"/>
          <c:order val="1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'Rs &amp; Qs II'!$AS$118:$AS$148</c:f>
              <c:numCache>
                <c:formatCode>0.000</c:formatCode>
                <c:ptCount val="31"/>
                <c:pt idx="0">
                  <c:v>2.4203473741933632E-2</c:v>
                </c:pt>
                <c:pt idx="1">
                  <c:v>3.657165408281312E-2</c:v>
                </c:pt>
                <c:pt idx="2">
                  <c:v>3.9817861643769277E-2</c:v>
                </c:pt>
                <c:pt idx="3">
                  <c:v>5.3966305827857837E-2</c:v>
                </c:pt>
                <c:pt idx="4">
                  <c:v>-5.0747678938519537E-2</c:v>
                </c:pt>
                <c:pt idx="5">
                  <c:v>-6.4760864816374289E-2</c:v>
                </c:pt>
                <c:pt idx="6">
                  <c:v>-3.9089016059125715E-2</c:v>
                </c:pt>
                <c:pt idx="11" formatCode="0.0000">
                  <c:v>1.3227460845187699E-2</c:v>
                </c:pt>
                <c:pt idx="12" formatCode="0.0000">
                  <c:v>2.3897929345836059E-2</c:v>
                </c:pt>
                <c:pt idx="13" formatCode="0.0000">
                  <c:v>3.5450102322718578E-2</c:v>
                </c:pt>
                <c:pt idx="14" formatCode="0.0000">
                  <c:v>-1.8023076313519886E-2</c:v>
                </c:pt>
                <c:pt idx="15" formatCode="0.0000">
                  <c:v>-1.4489423415607267E-2</c:v>
                </c:pt>
                <c:pt idx="16" formatCode="0.0000">
                  <c:v>-1.095945712552277E-2</c:v>
                </c:pt>
                <c:pt idx="17" formatCode="0.0000">
                  <c:v>-9.7748693562774696E-3</c:v>
                </c:pt>
                <c:pt idx="18" formatCode="0.0000">
                  <c:v>-3.1599241883774479E-3</c:v>
                </c:pt>
                <c:pt idx="19" formatCode="0.0000">
                  <c:v>1.7869106504982357E-2</c:v>
                </c:pt>
                <c:pt idx="20" formatCode="0.0000">
                  <c:v>-5.4326838472468679E-3</c:v>
                </c:pt>
                <c:pt idx="21" formatCode="0.0000">
                  <c:v>3.3418834657507547E-3</c:v>
                </c:pt>
                <c:pt idx="22" formatCode="0.0000">
                  <c:v>1.5319450115064876E-2</c:v>
                </c:pt>
                <c:pt idx="23" formatCode="0.0000">
                  <c:v>2.7884697693600778E-3</c:v>
                </c:pt>
                <c:pt idx="24" formatCode="0.0000">
                  <c:v>-3.4576158884959768E-2</c:v>
                </c:pt>
                <c:pt idx="25" formatCode="0.0000">
                  <c:v>9.5772237505272536E-4</c:v>
                </c:pt>
                <c:pt idx="26" formatCode="0.0000">
                  <c:v>-7.3202789479213425E-3</c:v>
                </c:pt>
                <c:pt idx="27" formatCode="0.0000">
                  <c:v>2.4181578063698209E-3</c:v>
                </c:pt>
                <c:pt idx="28" formatCode="0.0000">
                  <c:v>1.9245904354877885E-2</c:v>
                </c:pt>
                <c:pt idx="29" formatCode="0.0000">
                  <c:v>-2.7851090463634647E-3</c:v>
                </c:pt>
                <c:pt idx="30" formatCode="0.0000">
                  <c:v>-2.8107073119591441E-2</c:v>
                </c:pt>
              </c:numCache>
            </c:numRef>
          </c:xVal>
          <c:yVal>
            <c:numRef>
              <c:f>'Rs &amp; Qs II'!$AU$118:$AU$148</c:f>
              <c:numCache>
                <c:formatCode>General</c:formatCode>
                <c:ptCount val="31"/>
                <c:pt idx="11" formatCode="0.0000">
                  <c:v>1.3270519665849691E-3</c:v>
                </c:pt>
                <c:pt idx="12" formatCode="0.0000">
                  <c:v>-6.9517861269411708E-3</c:v>
                </c:pt>
                <c:pt idx="13" formatCode="0.0000">
                  <c:v>-1.1581076922665795E-2</c:v>
                </c:pt>
                <c:pt idx="14" formatCode="0.0000">
                  <c:v>1.8409756354118493E-3</c:v>
                </c:pt>
                <c:pt idx="15" formatCode="0.0000">
                  <c:v>2.3460179710112435E-2</c:v>
                </c:pt>
                <c:pt idx="16" formatCode="0.0000">
                  <c:v>4.4381494902865056E-3</c:v>
                </c:pt>
                <c:pt idx="17" formatCode="0.0000">
                  <c:v>1.4384326652465255E-3</c:v>
                </c:pt>
                <c:pt idx="18" formatCode="0.0000">
                  <c:v>3.3739518646252247E-3</c:v>
                </c:pt>
                <c:pt idx="19" formatCode="0.0000">
                  <c:v>2.9395095339227665E-3</c:v>
                </c:pt>
                <c:pt idx="20" formatCode="0.0000">
                  <c:v>9.577990696647198E-3</c:v>
                </c:pt>
                <c:pt idx="21" formatCode="0.0000">
                  <c:v>-4.0419156149894553E-3</c:v>
                </c:pt>
                <c:pt idx="22" formatCode="0.0000">
                  <c:v>4.3657889779473184E-3</c:v>
                </c:pt>
                <c:pt idx="23" formatCode="0.0000">
                  <c:v>1.8641095524080872E-3</c:v>
                </c:pt>
                <c:pt idx="24" formatCode="0.0000">
                  <c:v>-1.7774258361406246E-2</c:v>
                </c:pt>
                <c:pt idx="25" formatCode="0.0000">
                  <c:v>1.3194712116904523E-2</c:v>
                </c:pt>
                <c:pt idx="26" formatCode="0.0000">
                  <c:v>-4.1665663738665107E-3</c:v>
                </c:pt>
                <c:pt idx="27" formatCode="0.0000">
                  <c:v>-2.1344031574830756E-3</c:v>
                </c:pt>
                <c:pt idx="28" formatCode="0.0000">
                  <c:v>-4.0127055962436171E-3</c:v>
                </c:pt>
                <c:pt idx="29" formatCode="0.0000">
                  <c:v>-1.6370404562500575E-2</c:v>
                </c:pt>
                <c:pt idx="30" formatCode="0.0000">
                  <c:v>-5.6389870551004086E-4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61752"/>
        <c:axId val="557662144"/>
      </c:scatterChart>
      <c:valAx>
        <c:axId val="557661752"/>
        <c:scaling>
          <c:orientation val="minMax"/>
          <c:max val="0.08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Correspond. Axis 2</a:t>
                </a:r>
              </a:p>
            </c:rich>
          </c:tx>
          <c:layout>
            <c:manualLayout>
              <c:xMode val="edge"/>
              <c:yMode val="edge"/>
              <c:x val="0.39902771210583965"/>
              <c:y val="0.915586350924882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62144"/>
        <c:crossesAt val="-0.04"/>
        <c:crossBetween val="midCat"/>
        <c:majorUnit val="0.04"/>
        <c:minorUnit val="4.0000000000000001E-3"/>
      </c:valAx>
      <c:valAx>
        <c:axId val="557662144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Correspond. Axis 3</a:t>
                </a:r>
              </a:p>
            </c:rich>
          </c:tx>
          <c:layout>
            <c:manualLayout>
              <c:xMode val="edge"/>
              <c:yMode val="edge"/>
              <c:x val="3.8929532888374599E-2"/>
              <c:y val="0.37229515924132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61752"/>
        <c:crossesAt val="-0.08"/>
        <c:crossBetween val="midCat"/>
        <c:majorUnit val="0.02"/>
        <c:minorUnit val="2E-3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7946257197696"/>
          <c:y val="7.3529517362013672E-2"/>
          <c:w val="0.81957773512476007"/>
          <c:h val="0.7411775350090978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Lit>
              <c:formatCode>General</c:formatCode>
              <c:ptCount val="20"/>
              <c:pt idx="0">
                <c:v>14.864490832007744</c:v>
              </c:pt>
              <c:pt idx="1">
                <c:v>23.074822901757042</c:v>
              </c:pt>
              <c:pt idx="2">
                <c:v>-15.416814455010227</c:v>
              </c:pt>
              <c:pt idx="3">
                <c:v>16.238180683818914</c:v>
              </c:pt>
              <c:pt idx="4">
                <c:v>3.6668019587217531</c:v>
              </c:pt>
              <c:pt idx="5">
                <c:v>-1.2599766736686984</c:v>
              </c:pt>
              <c:pt idx="6">
                <c:v>11.684480829116747</c:v>
              </c:pt>
              <c:pt idx="7">
                <c:v>0</c:v>
              </c:pt>
              <c:pt idx="8">
                <c:v>14.289148141701968</c:v>
              </c:pt>
              <c:pt idx="9">
                <c:v>23.184624223553065</c:v>
              </c:pt>
              <c:pt idx="10">
                <c:v>15.049482892901711</c:v>
              </c:pt>
              <c:pt idx="11">
                <c:v>9.6893154985881775</c:v>
              </c:pt>
              <c:pt idx="12">
                <c:v>-1.7914159266807244</c:v>
              </c:pt>
              <c:pt idx="13">
                <c:v>-5.8351237275849677</c:v>
              </c:pt>
              <c:pt idx="14">
                <c:v>-25.320559618144578</c:v>
              </c:pt>
              <c:pt idx="15">
                <c:v>-21.887137122516265</c:v>
              </c:pt>
              <c:pt idx="16">
                <c:v>14.460696897609228</c:v>
              </c:pt>
              <c:pt idx="17">
                <c:v>-9.5828635090345902</c:v>
              </c:pt>
              <c:pt idx="18">
                <c:v>-56.358581884086171</c:v>
              </c:pt>
              <c:pt idx="19">
                <c:v>-12.654301360132161</c:v>
              </c:pt>
            </c:numLit>
          </c:xVal>
          <c:yVal>
            <c:numLit>
              <c:formatCode>General</c:formatCode>
              <c:ptCount val="20"/>
              <c:pt idx="0">
                <c:v>-3.4126087232361262</c:v>
              </c:pt>
              <c:pt idx="1">
                <c:v>-0.15411214071537394</c:v>
              </c:pt>
              <c:pt idx="2">
                <c:v>-2.5896354692478472</c:v>
              </c:pt>
              <c:pt idx="3">
                <c:v>-1.2246066643966358</c:v>
              </c:pt>
              <c:pt idx="4">
                <c:v>3.3742697721492982</c:v>
              </c:pt>
              <c:pt idx="5">
                <c:v>1.9249446486905801</c:v>
              </c:pt>
              <c:pt idx="6">
                <c:v>-4.9040104594311351E-2</c:v>
              </c:pt>
              <c:pt idx="7">
                <c:v>-1.4844432980610278</c:v>
              </c:pt>
              <c:pt idx="8">
                <c:v>2.7656489671541946</c:v>
              </c:pt>
              <c:pt idx="9">
                <c:v>0.89132613645147962</c:v>
              </c:pt>
              <c:pt idx="10">
                <c:v>1.5312567756413407</c:v>
              </c:pt>
              <c:pt idx="11">
                <c:v>-0.5736276265133109</c:v>
              </c:pt>
              <c:pt idx="12">
                <c:v>-0.74934435861214177</c:v>
              </c:pt>
              <c:pt idx="13">
                <c:v>5.2979672877228277</c:v>
              </c:pt>
              <c:pt idx="14">
                <c:v>-6.1894131022542886</c:v>
              </c:pt>
              <c:pt idx="15">
                <c:v>3.2890188971013274</c:v>
              </c:pt>
              <c:pt idx="16">
                <c:v>-2.6929982900665768</c:v>
              </c:pt>
              <c:pt idx="17">
                <c:v>-2.3467082691785159</c:v>
              </c:pt>
              <c:pt idx="18">
                <c:v>1.2685162452228633</c:v>
              </c:pt>
              <c:pt idx="19">
                <c:v>1.1235893167424289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49600"/>
        <c:axId val="557660968"/>
      </c:scatterChart>
      <c:valAx>
        <c:axId val="557649600"/>
        <c:scaling>
          <c:orientation val="minMax"/>
          <c:max val="40"/>
          <c:min val="-8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Principal Coordinate 1</a:t>
                </a:r>
              </a:p>
            </c:rich>
          </c:tx>
          <c:layout>
            <c:manualLayout>
              <c:xMode val="edge"/>
              <c:yMode val="edge"/>
              <c:x val="0.41650671785028792"/>
              <c:y val="0.8941189311220862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60968"/>
        <c:crossesAt val="-8"/>
        <c:crossBetween val="midCat"/>
      </c:valAx>
      <c:valAx>
        <c:axId val="55766096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Principal Coordinate 2</a:t>
                </a:r>
              </a:p>
            </c:rich>
          </c:tx>
          <c:layout>
            <c:manualLayout>
              <c:xMode val="edge"/>
              <c:yMode val="edge"/>
              <c:x val="3.0710172744721688E-2"/>
              <c:y val="0.2617650818087686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49600"/>
        <c:crossesAt val="-80"/>
        <c:crossBetween val="midCat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22100652014827"/>
          <c:y val="5.9523947925846185E-2"/>
          <c:w val="0.75584511445453839"/>
          <c:h val="0.7833351547041357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2088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FA!$H$63:$H$82</c:f>
              <c:numCache>
                <c:formatCode>0.000</c:formatCode>
                <c:ptCount val="20"/>
                <c:pt idx="0">
                  <c:v>-1.0556162462225895</c:v>
                </c:pt>
                <c:pt idx="1">
                  <c:v>-1.1618523869272077</c:v>
                </c:pt>
                <c:pt idx="2">
                  <c:v>0.52956718051245621</c:v>
                </c:pt>
                <c:pt idx="3">
                  <c:v>-0.9241851543814501</c:v>
                </c:pt>
                <c:pt idx="4">
                  <c:v>0.16793245986396807</c:v>
                </c:pt>
                <c:pt idx="5">
                  <c:v>0.23428251704905761</c:v>
                </c:pt>
                <c:pt idx="6">
                  <c:v>-0.57960902826052185</c:v>
                </c:pt>
                <c:pt idx="7">
                  <c:v>-0.35593746892007672</c:v>
                </c:pt>
                <c:pt idx="8">
                  <c:v>-0.42740876672766231</c:v>
                </c:pt>
                <c:pt idx="9">
                  <c:v>-1.0779523472140977</c:v>
                </c:pt>
                <c:pt idx="10">
                  <c:v>-0.60655417982017457</c:v>
                </c:pt>
                <c:pt idx="11">
                  <c:v>-0.50211190632547797</c:v>
                </c:pt>
                <c:pt idx="12">
                  <c:v>1.6014141787081333E-2</c:v>
                </c:pt>
                <c:pt idx="13">
                  <c:v>0.77118717858466601</c:v>
                </c:pt>
                <c:pt idx="14">
                  <c:v>0.65021810545999803</c:v>
                </c:pt>
                <c:pt idx="15">
                  <c:v>1.3423052478712267</c:v>
                </c:pt>
                <c:pt idx="16">
                  <c:v>-0.96259542015419153</c:v>
                </c:pt>
                <c:pt idx="17">
                  <c:v>0.29850327987610009</c:v>
                </c:pt>
                <c:pt idx="18">
                  <c:v>2.9211757864008003</c:v>
                </c:pt>
                <c:pt idx="19">
                  <c:v>0.72263700754809479</c:v>
                </c:pt>
              </c:numCache>
            </c:numRef>
          </c:xVal>
          <c:yVal>
            <c:numRef>
              <c:f>FA!$I$63:$I$82</c:f>
              <c:numCache>
                <c:formatCode>0.000</c:formatCode>
                <c:ptCount val="20"/>
                <c:pt idx="0">
                  <c:v>-0.99329231877825697</c:v>
                </c:pt>
                <c:pt idx="1">
                  <c:v>0.10970274536644697</c:v>
                </c:pt>
                <c:pt idx="2">
                  <c:v>-0.88886054416148186</c:v>
                </c:pt>
                <c:pt idx="3">
                  <c:v>-0.33309058734475827</c:v>
                </c:pt>
                <c:pt idx="4">
                  <c:v>1.7371847810032952</c:v>
                </c:pt>
                <c:pt idx="5">
                  <c:v>0.49482680660851142</c:v>
                </c:pt>
                <c:pt idx="6">
                  <c:v>0.16811775541002716</c:v>
                </c:pt>
                <c:pt idx="7">
                  <c:v>-0.85434595433934968</c:v>
                </c:pt>
                <c:pt idx="8">
                  <c:v>1.4365621732341662</c:v>
                </c:pt>
                <c:pt idx="9">
                  <c:v>0.31943292951390845</c:v>
                </c:pt>
                <c:pt idx="10">
                  <c:v>0.59443270043938967</c:v>
                </c:pt>
                <c:pt idx="11">
                  <c:v>0.4332905138183793</c:v>
                </c:pt>
                <c:pt idx="12">
                  <c:v>-0.31350901153053601</c:v>
                </c:pt>
                <c:pt idx="13">
                  <c:v>1.4905697218434109</c:v>
                </c:pt>
                <c:pt idx="14">
                  <c:v>-2.7530577109518428</c:v>
                </c:pt>
                <c:pt idx="15">
                  <c:v>4.816342344027591E-2</c:v>
                </c:pt>
                <c:pt idx="16">
                  <c:v>-0.66059105134946661</c:v>
                </c:pt>
                <c:pt idx="17">
                  <c:v>-0.15770922361156592</c:v>
                </c:pt>
                <c:pt idx="18">
                  <c:v>3.0721210797172382E-2</c:v>
                </c:pt>
                <c:pt idx="19">
                  <c:v>9.1451640592268957E-2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384472"/>
        <c:axId val="556385648"/>
      </c:scatterChart>
      <c:valAx>
        <c:axId val="556384472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Factor 1 (Unrotated)</a:t>
                </a:r>
              </a:p>
            </c:rich>
          </c:tx>
          <c:layout>
            <c:manualLayout>
              <c:xMode val="edge"/>
              <c:yMode val="edge"/>
              <c:x val="0.368831636606682"/>
              <c:y val="0.90714496638989583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85648"/>
        <c:crossesAt val="-4"/>
        <c:crossBetween val="midCat"/>
        <c:majorUnit val="2"/>
      </c:valAx>
      <c:valAx>
        <c:axId val="556385648"/>
        <c:scaling>
          <c:orientation val="minMax"/>
          <c:max val="4"/>
          <c:min val="-4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Factor 2 (Unrotated)</a:t>
                </a:r>
              </a:p>
            </c:rich>
          </c:tx>
          <c:layout>
            <c:manualLayout>
              <c:xMode val="edge"/>
              <c:yMode val="edge"/>
              <c:x val="4.1558494265541632E-2"/>
              <c:y val="0.2785720762929601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84472"/>
        <c:crossesAt val="-4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81012658227849"/>
          <c:y val="6.1904905842880026E-2"/>
          <c:w val="0.74936708860759493"/>
          <c:h val="0.7738113230360003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2088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FA!$M$63:$M$82</c:f>
              <c:numCache>
                <c:formatCode>0.000</c:formatCode>
                <c:ptCount val="20"/>
                <c:pt idx="0">
                  <c:v>-1.4494714472300543</c:v>
                </c:pt>
                <c:pt idx="1">
                  <c:v>-0.7723825577402974</c:v>
                </c:pt>
                <c:pt idx="2">
                  <c:v>-0.22182696621522946</c:v>
                </c:pt>
                <c:pt idx="3">
                  <c:v>-0.90195450595332627</c:v>
                </c:pt>
                <c:pt idx="4">
                  <c:v>1.3109222097743707</c:v>
                </c:pt>
                <c:pt idx="5">
                  <c:v>0.50939909521713789</c:v>
                </c:pt>
                <c:pt idx="6">
                  <c:v>-0.30774308238659481</c:v>
                </c:pt>
                <c:pt idx="7">
                  <c:v>-0.84408550297148</c:v>
                </c:pt>
                <c:pt idx="8">
                  <c:v>0.67103138580815291</c:v>
                </c:pt>
                <c:pt idx="9">
                  <c:v>-0.56770831648967846</c:v>
                </c:pt>
                <c:pt idx="10">
                  <c:v>-3.5748173978391695E-2</c:v>
                </c:pt>
                <c:pt idx="11">
                  <c:v>-6.9808463159650114E-2</c:v>
                </c:pt>
                <c:pt idx="12">
                  <c:v>-0.20279595633726871</c:v>
                </c:pt>
                <c:pt idx="13">
                  <c:v>1.5822090582292865</c:v>
                </c:pt>
                <c:pt idx="14">
                  <c:v>-1.4091533386434099</c:v>
                </c:pt>
                <c:pt idx="15">
                  <c:v>1.0119977096105033</c:v>
                </c:pt>
                <c:pt idx="16">
                  <c:v>-1.1540177514330934</c:v>
                </c:pt>
                <c:pt idx="17">
                  <c:v>0.10983273651779635</c:v>
                </c:pt>
                <c:pt idx="18">
                  <c:v>2.1516639411768672</c:v>
                </c:pt>
                <c:pt idx="19">
                  <c:v>0.58963992620435624</c:v>
                </c:pt>
              </c:numCache>
            </c:numRef>
          </c:xVal>
          <c:yVal>
            <c:numRef>
              <c:f>FA!$N$63:$N$82</c:f>
              <c:numCache>
                <c:formatCode>0.000</c:formatCode>
                <c:ptCount val="20"/>
                <c:pt idx="0">
                  <c:v>-2.3264170081518376E-3</c:v>
                </c:pt>
                <c:pt idx="1">
                  <c:v>0.87484735776259526</c:v>
                </c:pt>
                <c:pt idx="2">
                  <c:v>-1.0105937476174902</c:v>
                </c:pt>
                <c:pt idx="3">
                  <c:v>0.38929491375289715</c:v>
                </c:pt>
                <c:pt idx="4">
                  <c:v>1.15217502841788</c:v>
                </c:pt>
                <c:pt idx="5">
                  <c:v>0.2006394836553993</c:v>
                </c:pt>
                <c:pt idx="6">
                  <c:v>0.51913628741398743</c:v>
                </c:pt>
                <c:pt idx="7">
                  <c:v>-0.37963876877515768</c:v>
                </c:pt>
                <c:pt idx="8">
                  <c:v>1.3401863161093601</c:v>
                </c:pt>
                <c:pt idx="9">
                  <c:v>0.97042247126885983</c:v>
                </c:pt>
                <c:pt idx="10">
                  <c:v>0.84851299059889584</c:v>
                </c:pt>
                <c:pt idx="11">
                  <c:v>0.65953040336677771</c:v>
                </c:pt>
                <c:pt idx="12">
                  <c:v>-0.23962099469602383</c:v>
                </c:pt>
                <c:pt idx="13">
                  <c:v>0.5596082130036083</c:v>
                </c:pt>
                <c:pt idx="14">
                  <c:v>-2.4528307181444107</c:v>
                </c:pt>
                <c:pt idx="15">
                  <c:v>-0.88315352078058507</c:v>
                </c:pt>
                <c:pt idx="16">
                  <c:v>0.17670121279655837</c:v>
                </c:pt>
                <c:pt idx="17">
                  <c:v>-0.31923737288190401</c:v>
                </c:pt>
                <c:pt idx="18">
                  <c:v>-1.9759935328229159</c:v>
                </c:pt>
                <c:pt idx="19">
                  <c:v>-0.42765960542018222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387608"/>
        <c:axId val="556389960"/>
      </c:scatterChart>
      <c:valAx>
        <c:axId val="556387608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Factor 1 (Varimax)</a:t>
                </a:r>
              </a:p>
            </c:rich>
          </c:tx>
          <c:layout>
            <c:manualLayout>
              <c:xMode val="edge"/>
              <c:yMode val="edge"/>
              <c:x val="0.39493670886075949"/>
              <c:y val="0.907144966389895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89960"/>
        <c:crossesAt val="-4"/>
        <c:crossBetween val="midCat"/>
        <c:majorUnit val="2"/>
      </c:valAx>
      <c:valAx>
        <c:axId val="556389960"/>
        <c:scaling>
          <c:orientation val="minMax"/>
          <c:max val="4"/>
          <c:min val="-4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Factor 2 (Varimax)</a:t>
                </a:r>
              </a:p>
            </c:rich>
          </c:tx>
          <c:layout>
            <c:manualLayout>
              <c:xMode val="edge"/>
              <c:yMode val="edge"/>
              <c:x val="4.0506329113924051E-2"/>
              <c:y val="0.29285782379516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87608"/>
        <c:crossesAt val="-4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69465712245272"/>
          <c:y val="7.6687116564417179E-2"/>
          <c:w val="0.68027436847087741"/>
          <c:h val="0.7208588957055214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FA!$H$27:$H$29</c:f>
              <c:numCache>
                <c:formatCode>0.000</c:formatCode>
                <c:ptCount val="3"/>
                <c:pt idx="0">
                  <c:v>0.954312576485567</c:v>
                </c:pt>
                <c:pt idx="1">
                  <c:v>0.97216012306861321</c:v>
                </c:pt>
                <c:pt idx="2">
                  <c:v>0.95938463575415966</c:v>
                </c:pt>
              </c:numCache>
            </c:numRef>
          </c:xVal>
          <c:yVal>
            <c:numRef>
              <c:f>FA!$I$27:$I$29</c:f>
              <c:numCache>
                <c:formatCode>0.000</c:formatCode>
                <c:ptCount val="3"/>
                <c:pt idx="0">
                  <c:v>-0.28494730836529064</c:v>
                </c:pt>
                <c:pt idx="1">
                  <c:v>4.0543006232078543E-2</c:v>
                </c:pt>
                <c:pt idx="2">
                  <c:v>0.24235796302677098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386824"/>
        <c:axId val="556386040"/>
      </c:scatterChart>
      <c:valAx>
        <c:axId val="556386824"/>
        <c:scaling>
          <c:orientation val="minMax"/>
          <c:max val="1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Factor 1 (Unrotated)</a:t>
                </a:r>
              </a:p>
            </c:rich>
          </c:tx>
          <c:layout>
            <c:manualLayout>
              <c:xMode val="edge"/>
              <c:yMode val="edge"/>
              <c:x val="0.32993306870837552"/>
              <c:y val="0.8803680981595092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86040"/>
        <c:crossesAt val="-1"/>
        <c:crossBetween val="midCat"/>
        <c:majorUnit val="0.5"/>
      </c:valAx>
      <c:valAx>
        <c:axId val="556386040"/>
        <c:scaling>
          <c:orientation val="minMax"/>
          <c:max val="1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Factor 2 (Unrotated)</a:t>
                </a:r>
              </a:p>
            </c:rich>
          </c:tx>
          <c:layout>
            <c:manualLayout>
              <c:xMode val="edge"/>
              <c:yMode val="edge"/>
              <c:x val="5.4421949477670192E-2"/>
              <c:y val="0.214723926380368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86824"/>
        <c:crossesAt val="-1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96688741721857"/>
          <c:y val="8.2822085889570546E-2"/>
          <c:w val="0.65894039735099341"/>
          <c:h val="0.7055214723926380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FA!$M$27:$M$29</c:f>
              <c:numCache>
                <c:formatCode>0.000</c:formatCode>
                <c:ptCount val="3"/>
                <c:pt idx="0">
                  <c:v>0.50111799999999995</c:v>
                </c:pt>
                <c:pt idx="1">
                  <c:v>0.73679700000000004</c:v>
                </c:pt>
                <c:pt idx="2">
                  <c:v>0.86555780000000004</c:v>
                </c:pt>
              </c:numCache>
            </c:numRef>
          </c:xVal>
          <c:yVal>
            <c:numRef>
              <c:f>FA!$N$27:$N$29</c:f>
              <c:numCache>
                <c:formatCode>0.000</c:formatCode>
                <c:ptCount val="3"/>
                <c:pt idx="0">
                  <c:v>-0.86068999999999996</c:v>
                </c:pt>
                <c:pt idx="1">
                  <c:v>-0.63550799999999996</c:v>
                </c:pt>
                <c:pt idx="2">
                  <c:v>-0.47955100000000001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389568"/>
        <c:axId val="556387216"/>
      </c:scatterChart>
      <c:valAx>
        <c:axId val="556389568"/>
        <c:scaling>
          <c:orientation val="minMax"/>
          <c:max val="1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Factor 1 (Varimax)</a:t>
                </a:r>
              </a:p>
            </c:rich>
          </c:tx>
          <c:layout>
            <c:manualLayout>
              <c:xMode val="edge"/>
              <c:yMode val="edge"/>
              <c:x val="0.36754966887417218"/>
              <c:y val="0.8803680981595092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87216"/>
        <c:crossesAt val="-1"/>
        <c:crossBetween val="midCat"/>
        <c:majorUnit val="0.5"/>
      </c:valAx>
      <c:valAx>
        <c:axId val="556387216"/>
        <c:scaling>
          <c:orientation val="minMax"/>
          <c:max val="1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Factor 2 (Varimax)</a:t>
                </a:r>
              </a:p>
            </c:rich>
          </c:tx>
          <c:layout>
            <c:manualLayout>
              <c:xMode val="edge"/>
              <c:yMode val="edge"/>
              <c:x val="5.2980132450331126E-2"/>
              <c:y val="0.23619631901840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389568"/>
        <c:crossesAt val="-1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5418117743271"/>
          <c:y val="7.0588336667533128E-2"/>
          <c:w val="0.81285519263128458"/>
          <c:h val="0.7617657998704616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PCA!$M$28:$M$47</c:f>
              <c:numCache>
                <c:formatCode>0.000</c:formatCode>
                <c:ptCount val="20"/>
                <c:pt idx="0">
                  <c:v>23.574478872844999</c:v>
                </c:pt>
                <c:pt idx="1">
                  <c:v>15.364149269027701</c:v>
                </c:pt>
                <c:pt idx="2">
                  <c:v>53.855775065024702</c:v>
                </c:pt>
                <c:pt idx="3">
                  <c:v>22.200789433614698</c:v>
                </c:pt>
                <c:pt idx="4">
                  <c:v>34.7721643829613</c:v>
                </c:pt>
                <c:pt idx="5">
                  <c:v>39.698941535618403</c:v>
                </c:pt>
                <c:pt idx="6">
                  <c:v>26.754487920635899</c:v>
                </c:pt>
                <c:pt idx="7">
                  <c:v>34.534236996061502</c:v>
                </c:pt>
                <c:pt idx="8">
                  <c:v>24.149821390349398</c:v>
                </c:pt>
                <c:pt idx="9">
                  <c:v>15.254347980209999</c:v>
                </c:pt>
                <c:pt idx="10">
                  <c:v>23.389486867512399</c:v>
                </c:pt>
                <c:pt idx="11">
                  <c:v>28.7496526519265</c:v>
                </c:pt>
                <c:pt idx="12">
                  <c:v>40.2303806290154</c:v>
                </c:pt>
                <c:pt idx="13">
                  <c:v>44.274087215412202</c:v>
                </c:pt>
                <c:pt idx="14">
                  <c:v>63.759517253618803</c:v>
                </c:pt>
                <c:pt idx="15">
                  <c:v>60.326095789201801</c:v>
                </c:pt>
                <c:pt idx="16">
                  <c:v>23.978272685966001</c:v>
                </c:pt>
                <c:pt idx="17">
                  <c:v>48.021825871247103</c:v>
                </c:pt>
                <c:pt idx="18">
                  <c:v>94.797530197446093</c:v>
                </c:pt>
                <c:pt idx="19">
                  <c:v>51.093262799853697</c:v>
                </c:pt>
              </c:numCache>
            </c:numRef>
          </c:xVal>
          <c:yVal>
            <c:numRef>
              <c:f>PCA!$N$28:$N$47</c:f>
              <c:numCache>
                <c:formatCode>0.000</c:formatCode>
                <c:ptCount val="20"/>
                <c:pt idx="0">
                  <c:v>2.2860346694037901</c:v>
                </c:pt>
                <c:pt idx="1">
                  <c:v>-0.97246557405366296</c:v>
                </c:pt>
                <c:pt idx="2">
                  <c:v>1.46306049080107</c:v>
                </c:pt>
                <c:pt idx="3">
                  <c:v>9.8030152333392295E-2</c:v>
                </c:pt>
                <c:pt idx="4">
                  <c:v>-4.5008514510725099</c:v>
                </c:pt>
                <c:pt idx="5">
                  <c:v>-3.05152469928999</c:v>
                </c:pt>
                <c:pt idx="6">
                  <c:v>-1.07753772822366</c:v>
                </c:pt>
                <c:pt idx="7">
                  <c:v>0.35786707792550299</c:v>
                </c:pt>
                <c:pt idx="8">
                  <c:v>-3.892229962289</c:v>
                </c:pt>
                <c:pt idx="9">
                  <c:v>-2.0179050257754798</c:v>
                </c:pt>
                <c:pt idx="10">
                  <c:v>-2.6578363839305101</c:v>
                </c:pt>
                <c:pt idx="11">
                  <c:v>-0.55294961692804601</c:v>
                </c:pt>
                <c:pt idx="12">
                  <c:v>-0.377232687410606</c:v>
                </c:pt>
                <c:pt idx="13">
                  <c:v>-6.4245511279295098</c:v>
                </c:pt>
                <c:pt idx="14">
                  <c:v>5.0628421681751297</c:v>
                </c:pt>
                <c:pt idx="15">
                  <c:v>-4.4156004802447599</c:v>
                </c:pt>
                <c:pt idx="16">
                  <c:v>1.5664234277484499</c:v>
                </c:pt>
                <c:pt idx="17">
                  <c:v>1.2201330178018599</c:v>
                </c:pt>
                <c:pt idx="18">
                  <c:v>-2.3950955583217999</c:v>
                </c:pt>
                <c:pt idx="19">
                  <c:v>-2.2501684670152402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46856"/>
        <c:axId val="557650776"/>
      </c:scatterChart>
      <c:valAx>
        <c:axId val="557646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Principal Component 1</a:t>
                </a:r>
              </a:p>
            </c:rich>
          </c:tx>
          <c:layout>
            <c:manualLayout>
              <c:xMode val="edge"/>
              <c:yMode val="edge"/>
              <c:x val="0.39130470901087416"/>
              <c:y val="0.9029424732055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50776"/>
        <c:crossesAt val="-8"/>
        <c:crossBetween val="midCat"/>
      </c:valAx>
      <c:valAx>
        <c:axId val="557650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Principal Component 2</a:t>
                </a:r>
              </a:p>
            </c:rich>
          </c:tx>
          <c:layout>
            <c:manualLayout>
              <c:xMode val="edge"/>
              <c:yMode val="edge"/>
              <c:x val="3.0245774609536168E-2"/>
              <c:y val="0.2294120941694826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46856"/>
        <c:crosses val="autoZero"/>
        <c:crossBetween val="midCat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5418117743271"/>
          <c:y val="7.0381231671554259E-2"/>
          <c:w val="0.82230699719676459"/>
          <c:h val="0.7624633431085043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PCA!$O$28:$O$47</c:f>
              <c:numCache>
                <c:formatCode>0.000</c:formatCode>
                <c:ptCount val="20"/>
                <c:pt idx="0">
                  <c:v>-0.96978934004589801</c:v>
                </c:pt>
                <c:pt idx="1">
                  <c:v>-0.683321261423952</c:v>
                </c:pt>
                <c:pt idx="2">
                  <c:v>-1.79375197441295</c:v>
                </c:pt>
                <c:pt idx="3">
                  <c:v>-0.66628718547916599</c:v>
                </c:pt>
                <c:pt idx="4">
                  <c:v>-3.43038195245011</c:v>
                </c:pt>
                <c:pt idx="5">
                  <c:v>-0.70059828801391499</c:v>
                </c:pt>
                <c:pt idx="6">
                  <c:v>-1.3271731419824899</c:v>
                </c:pt>
                <c:pt idx="7">
                  <c:v>0.425800721456085</c:v>
                </c:pt>
                <c:pt idx="8">
                  <c:v>-2.5257222204509402</c:v>
                </c:pt>
                <c:pt idx="9">
                  <c:v>-0.15435998707812801</c:v>
                </c:pt>
                <c:pt idx="10">
                  <c:v>-0.79856736141555595</c:v>
                </c:pt>
                <c:pt idx="11">
                  <c:v>-3.12901248235148</c:v>
                </c:pt>
                <c:pt idx="12">
                  <c:v>-1.0103316010552199</c:v>
                </c:pt>
                <c:pt idx="13">
                  <c:v>-0.47248708626449398</c:v>
                </c:pt>
                <c:pt idx="14">
                  <c:v>0.35649511304079201</c:v>
                </c:pt>
                <c:pt idx="15">
                  <c:v>1.7771435594535101</c:v>
                </c:pt>
                <c:pt idx="16">
                  <c:v>-1.3603149056219299</c:v>
                </c:pt>
                <c:pt idx="17">
                  <c:v>-4.0384174388603604</c:v>
                </c:pt>
                <c:pt idx="18">
                  <c:v>-2.4165027893219602</c:v>
                </c:pt>
                <c:pt idx="19">
                  <c:v>-0.71367943443537596</c:v>
                </c:pt>
              </c:numCache>
            </c:numRef>
          </c:xVal>
          <c:yVal>
            <c:numRef>
              <c:f>PCA!$N$28:$N$47</c:f>
              <c:numCache>
                <c:formatCode>0.000</c:formatCode>
                <c:ptCount val="20"/>
                <c:pt idx="0">
                  <c:v>2.2860346694037901</c:v>
                </c:pt>
                <c:pt idx="1">
                  <c:v>-0.97246557405366296</c:v>
                </c:pt>
                <c:pt idx="2">
                  <c:v>1.46306049080107</c:v>
                </c:pt>
                <c:pt idx="3">
                  <c:v>9.8030152333392295E-2</c:v>
                </c:pt>
                <c:pt idx="4">
                  <c:v>-4.5008514510725099</c:v>
                </c:pt>
                <c:pt idx="5">
                  <c:v>-3.05152469928999</c:v>
                </c:pt>
                <c:pt idx="6">
                  <c:v>-1.07753772822366</c:v>
                </c:pt>
                <c:pt idx="7">
                  <c:v>0.35786707792550299</c:v>
                </c:pt>
                <c:pt idx="8">
                  <c:v>-3.892229962289</c:v>
                </c:pt>
                <c:pt idx="9">
                  <c:v>-2.0179050257754798</c:v>
                </c:pt>
                <c:pt idx="10">
                  <c:v>-2.6578363839305101</c:v>
                </c:pt>
                <c:pt idx="11">
                  <c:v>-0.55294961692804601</c:v>
                </c:pt>
                <c:pt idx="12">
                  <c:v>-0.377232687410606</c:v>
                </c:pt>
                <c:pt idx="13">
                  <c:v>-6.4245511279295098</c:v>
                </c:pt>
                <c:pt idx="14">
                  <c:v>5.0628421681751297</c:v>
                </c:pt>
                <c:pt idx="15">
                  <c:v>-4.4156004802447599</c:v>
                </c:pt>
                <c:pt idx="16">
                  <c:v>1.5664234277484499</c:v>
                </c:pt>
                <c:pt idx="17">
                  <c:v>1.2201330178018599</c:v>
                </c:pt>
                <c:pt idx="18">
                  <c:v>-2.3950955583217999</c:v>
                </c:pt>
                <c:pt idx="19">
                  <c:v>-2.2501684670152402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51952"/>
        <c:axId val="557654696"/>
      </c:scatterChart>
      <c:valAx>
        <c:axId val="55765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Principal Component 3</a:t>
                </a:r>
              </a:p>
            </c:rich>
          </c:tx>
          <c:layout>
            <c:manualLayout>
              <c:xMode val="edge"/>
              <c:yMode val="edge"/>
              <c:x val="0.39508543083706621"/>
              <c:y val="0.903225806451612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54696"/>
        <c:crossesAt val="-8"/>
        <c:crossBetween val="midCat"/>
      </c:valAx>
      <c:valAx>
        <c:axId val="557654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Principal Component 2</a:t>
                </a:r>
              </a:p>
            </c:rich>
          </c:tx>
          <c:layout>
            <c:manualLayout>
              <c:xMode val="edge"/>
              <c:yMode val="edge"/>
              <c:x val="3.0245774609536168E-2"/>
              <c:y val="0.231671554252199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51952"/>
        <c:crossesAt val="-8"/>
        <c:crossBetween val="midCat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09029964363814"/>
          <c:y val="6.6852367688022288E-2"/>
          <c:w val="0.76180337333541503"/>
          <c:h val="0.7743732590529247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PCA!$C$7:$C$26</c:f>
              <c:numCache>
                <c:formatCode>0.00</c:formatCode>
                <c:ptCount val="20"/>
                <c:pt idx="0">
                  <c:v>23.14</c:v>
                </c:pt>
                <c:pt idx="1">
                  <c:v>14.32</c:v>
                </c:pt>
                <c:pt idx="2">
                  <c:v>51.69</c:v>
                </c:pt>
                <c:pt idx="3">
                  <c:v>21.15</c:v>
                </c:pt>
                <c:pt idx="4">
                  <c:v>31.740000000000002</c:v>
                </c:pt>
                <c:pt idx="5">
                  <c:v>36.81</c:v>
                </c:pt>
                <c:pt idx="6">
                  <c:v>25.125</c:v>
                </c:pt>
                <c:pt idx="7">
                  <c:v>32.93</c:v>
                </c:pt>
                <c:pt idx="8">
                  <c:v>21.81</c:v>
                </c:pt>
                <c:pt idx="9">
                  <c:v>13.88</c:v>
                </c:pt>
                <c:pt idx="10">
                  <c:v>21.43</c:v>
                </c:pt>
                <c:pt idx="11">
                  <c:v>27.234000000000002</c:v>
                </c:pt>
                <c:pt idx="12">
                  <c:v>38.15</c:v>
                </c:pt>
                <c:pt idx="13">
                  <c:v>40.11</c:v>
                </c:pt>
                <c:pt idx="14">
                  <c:v>62.17</c:v>
                </c:pt>
                <c:pt idx="15">
                  <c:v>55.94</c:v>
                </c:pt>
                <c:pt idx="16">
                  <c:v>23.31</c:v>
                </c:pt>
                <c:pt idx="17">
                  <c:v>46.12</c:v>
                </c:pt>
                <c:pt idx="18">
                  <c:v>89.43</c:v>
                </c:pt>
                <c:pt idx="19">
                  <c:v>47.89</c:v>
                </c:pt>
              </c:numCache>
            </c:numRef>
          </c:xVal>
          <c:yVal>
            <c:numRef>
              <c:f>PCA!$D$7:$D$26</c:f>
              <c:numCache>
                <c:formatCode>0.00</c:formatCode>
                <c:ptCount val="20"/>
                <c:pt idx="0">
                  <c:v>3.5</c:v>
                </c:pt>
                <c:pt idx="1">
                  <c:v>3.97</c:v>
                </c:pt>
                <c:pt idx="2">
                  <c:v>10.91</c:v>
                </c:pt>
                <c:pt idx="3">
                  <c:v>4.9000000000000004</c:v>
                </c:pt>
                <c:pt idx="4">
                  <c:v>9.33</c:v>
                </c:pt>
                <c:pt idx="5">
                  <c:v>11.35</c:v>
                </c:pt>
                <c:pt idx="6">
                  <c:v>6.39</c:v>
                </c:pt>
                <c:pt idx="7">
                  <c:v>8.4600000000000009</c:v>
                </c:pt>
                <c:pt idx="8">
                  <c:v>6.92</c:v>
                </c:pt>
                <c:pt idx="9">
                  <c:v>5.03</c:v>
                </c:pt>
                <c:pt idx="10">
                  <c:v>7.03</c:v>
                </c:pt>
                <c:pt idx="11">
                  <c:v>5.3</c:v>
                </c:pt>
                <c:pt idx="12">
                  <c:v>9.4</c:v>
                </c:pt>
                <c:pt idx="13">
                  <c:v>14.98</c:v>
                </c:pt>
                <c:pt idx="14">
                  <c:v>12.25</c:v>
                </c:pt>
                <c:pt idx="15">
                  <c:v>19</c:v>
                </c:pt>
                <c:pt idx="16">
                  <c:v>3.84</c:v>
                </c:pt>
                <c:pt idx="17">
                  <c:v>8.15</c:v>
                </c:pt>
                <c:pt idx="18">
                  <c:v>23.18</c:v>
                </c:pt>
                <c:pt idx="19">
                  <c:v>13.56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42544"/>
        <c:axId val="557648816"/>
      </c:scatterChart>
      <c:valAx>
        <c:axId val="55764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Body Length</a:t>
                </a:r>
              </a:p>
            </c:rich>
          </c:tx>
          <c:layout>
            <c:manualLayout>
              <c:xMode val="edge"/>
              <c:yMode val="edge"/>
              <c:x val="0.45279017401062693"/>
              <c:y val="0.908077994428969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48816"/>
        <c:crosses val="autoZero"/>
        <c:crossBetween val="midCat"/>
      </c:valAx>
      <c:valAx>
        <c:axId val="55764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Galbella Length</a:t>
                </a:r>
              </a:p>
            </c:rich>
          </c:tx>
          <c:layout>
            <c:manualLayout>
              <c:xMode val="edge"/>
              <c:yMode val="edge"/>
              <c:x val="3.4334799924976449E-2"/>
              <c:y val="0.3091922005571030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42544"/>
        <c:crosses val="autoZero"/>
        <c:crossBetween val="midCat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09029964363814"/>
          <c:y val="6.7227074653893812E-2"/>
          <c:w val="0.76180337333541503"/>
          <c:h val="0.7731113585197788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PCA!$C$7:$C$26</c:f>
              <c:numCache>
                <c:formatCode>0.00</c:formatCode>
                <c:ptCount val="20"/>
                <c:pt idx="0">
                  <c:v>23.14</c:v>
                </c:pt>
                <c:pt idx="1">
                  <c:v>14.32</c:v>
                </c:pt>
                <c:pt idx="2">
                  <c:v>51.69</c:v>
                </c:pt>
                <c:pt idx="3">
                  <c:v>21.15</c:v>
                </c:pt>
                <c:pt idx="4">
                  <c:v>31.740000000000002</c:v>
                </c:pt>
                <c:pt idx="5">
                  <c:v>36.81</c:v>
                </c:pt>
                <c:pt idx="6">
                  <c:v>25.125</c:v>
                </c:pt>
                <c:pt idx="7">
                  <c:v>32.93</c:v>
                </c:pt>
                <c:pt idx="8">
                  <c:v>21.81</c:v>
                </c:pt>
                <c:pt idx="9">
                  <c:v>13.88</c:v>
                </c:pt>
                <c:pt idx="10">
                  <c:v>21.43</c:v>
                </c:pt>
                <c:pt idx="11">
                  <c:v>27.234000000000002</c:v>
                </c:pt>
                <c:pt idx="12">
                  <c:v>38.15</c:v>
                </c:pt>
                <c:pt idx="13">
                  <c:v>40.11</c:v>
                </c:pt>
                <c:pt idx="14">
                  <c:v>62.17</c:v>
                </c:pt>
                <c:pt idx="15">
                  <c:v>55.94</c:v>
                </c:pt>
                <c:pt idx="16">
                  <c:v>23.31</c:v>
                </c:pt>
                <c:pt idx="17">
                  <c:v>46.12</c:v>
                </c:pt>
                <c:pt idx="18">
                  <c:v>89.43</c:v>
                </c:pt>
                <c:pt idx="19">
                  <c:v>47.89</c:v>
                </c:pt>
              </c:numCache>
            </c:numRef>
          </c:xVal>
          <c:yVal>
            <c:numRef>
              <c:f>PCA!$E$7:$E$26</c:f>
              <c:numCache>
                <c:formatCode>0.00</c:formatCode>
                <c:ptCount val="20"/>
                <c:pt idx="0">
                  <c:v>3.77</c:v>
                </c:pt>
                <c:pt idx="1">
                  <c:v>4.08</c:v>
                </c:pt>
                <c:pt idx="2">
                  <c:v>10.72</c:v>
                </c:pt>
                <c:pt idx="3">
                  <c:v>4.6900000000000004</c:v>
                </c:pt>
                <c:pt idx="4">
                  <c:v>12.11</c:v>
                </c:pt>
                <c:pt idx="5">
                  <c:v>10.1</c:v>
                </c:pt>
                <c:pt idx="6">
                  <c:v>6.81</c:v>
                </c:pt>
                <c:pt idx="7">
                  <c:v>6.08</c:v>
                </c:pt>
                <c:pt idx="8">
                  <c:v>9.01</c:v>
                </c:pt>
                <c:pt idx="9">
                  <c:v>4.34</c:v>
                </c:pt>
                <c:pt idx="10">
                  <c:v>6.79</c:v>
                </c:pt>
                <c:pt idx="11">
                  <c:v>8.19</c:v>
                </c:pt>
                <c:pt idx="12">
                  <c:v>8.7100000000000009</c:v>
                </c:pt>
                <c:pt idx="13">
                  <c:v>12.98</c:v>
                </c:pt>
                <c:pt idx="14">
                  <c:v>8.7100000000000009</c:v>
                </c:pt>
                <c:pt idx="15">
                  <c:v>13.1</c:v>
                </c:pt>
                <c:pt idx="16">
                  <c:v>4.5999999999999996</c:v>
                </c:pt>
                <c:pt idx="17">
                  <c:v>11.42</c:v>
                </c:pt>
                <c:pt idx="18">
                  <c:v>21.52</c:v>
                </c:pt>
                <c:pt idx="19">
                  <c:v>11.78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51168"/>
        <c:axId val="557651560"/>
      </c:scatterChart>
      <c:valAx>
        <c:axId val="55765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Body Length</a:t>
                </a:r>
              </a:p>
            </c:rich>
          </c:tx>
          <c:layout>
            <c:manualLayout>
              <c:xMode val="edge"/>
              <c:yMode val="edge"/>
              <c:x val="0.45279017401062693"/>
              <c:y val="0.9075655078275665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51560"/>
        <c:crosses val="autoZero"/>
        <c:crossBetween val="midCat"/>
      </c:valAx>
      <c:valAx>
        <c:axId val="557651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Glabella Width</a:t>
                </a:r>
              </a:p>
            </c:rich>
          </c:tx>
          <c:layout>
            <c:manualLayout>
              <c:xMode val="edge"/>
              <c:yMode val="edge"/>
              <c:x val="3.4334799924976449E-2"/>
              <c:y val="0.316527476495416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51168"/>
        <c:crosses val="autoZero"/>
        <c:crossBetween val="midCat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35176035244892"/>
          <c:y val="7.0588336667533128E-2"/>
          <c:w val="0.76559616980388423"/>
          <c:h val="0.7500010770925394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PCA!$M$76:$M$95</c:f>
              <c:numCache>
                <c:formatCode>0.000</c:formatCode>
                <c:ptCount val="20"/>
                <c:pt idx="0">
                  <c:v>-1.7591753270719099</c:v>
                </c:pt>
                <c:pt idx="1">
                  <c:v>-1.93727281897131</c:v>
                </c:pt>
                <c:pt idx="2">
                  <c:v>0.88126447963636301</c:v>
                </c:pt>
                <c:pt idx="3">
                  <c:v>-1.5408805632768099</c:v>
                </c:pt>
                <c:pt idx="4">
                  <c:v>0.27992763398616999</c:v>
                </c:pt>
                <c:pt idx="5">
                  <c:v>0.39031631931274802</c:v>
                </c:pt>
                <c:pt idx="6">
                  <c:v>-0.96643127910459103</c:v>
                </c:pt>
                <c:pt idx="7">
                  <c:v>-0.59386030009490698</c:v>
                </c:pt>
                <c:pt idx="8">
                  <c:v>-0.71176240881151298</c:v>
                </c:pt>
                <c:pt idx="9">
                  <c:v>-1.7968804717455</c:v>
                </c:pt>
                <c:pt idx="10">
                  <c:v>-1.0109487193360001</c:v>
                </c:pt>
                <c:pt idx="11">
                  <c:v>-0.83651719494171295</c:v>
                </c:pt>
                <c:pt idx="12">
                  <c:v>2.6791676771016501E-2</c:v>
                </c:pt>
                <c:pt idx="13">
                  <c:v>1.28527244211459</c:v>
                </c:pt>
                <c:pt idx="14">
                  <c:v>1.0830487468084999</c:v>
                </c:pt>
                <c:pt idx="15">
                  <c:v>2.2363269702800599</c:v>
                </c:pt>
                <c:pt idx="16">
                  <c:v>-1.6043922929735399</c:v>
                </c:pt>
                <c:pt idx="17">
                  <c:v>0.49695946442789402</c:v>
                </c:pt>
                <c:pt idx="18">
                  <c:v>4.8677816287430096</c:v>
                </c:pt>
                <c:pt idx="19">
                  <c:v>1.2036099225731001</c:v>
                </c:pt>
              </c:numCache>
            </c:numRef>
          </c:xVal>
          <c:yVal>
            <c:numRef>
              <c:f>PCA!$N$76:$N$95</c:f>
              <c:numCache>
                <c:formatCode>0.000</c:formatCode>
                <c:ptCount val="20"/>
                <c:pt idx="0">
                  <c:v>-0.37508597835136498</c:v>
                </c:pt>
                <c:pt idx="1">
                  <c:v>3.9833325181734901E-2</c:v>
                </c:pt>
                <c:pt idx="2">
                  <c:v>-0.33471791891405001</c:v>
                </c:pt>
                <c:pt idx="3">
                  <c:v>-0.126806830235282</c:v>
                </c:pt>
                <c:pt idx="4">
                  <c:v>0.65303927779989401</c:v>
                </c:pt>
                <c:pt idx="5">
                  <c:v>0.185354538231878</c:v>
                </c:pt>
                <c:pt idx="6">
                  <c:v>6.2725176986276901E-2</c:v>
                </c:pt>
                <c:pt idx="7">
                  <c:v>-0.32207075009847103</c:v>
                </c:pt>
                <c:pt idx="8">
                  <c:v>0.53948230455191304</c:v>
                </c:pt>
                <c:pt idx="9">
                  <c:v>0.11840948837632299</c:v>
                </c:pt>
                <c:pt idx="10">
                  <c:v>0.222696650785735</c:v>
                </c:pt>
                <c:pt idx="11">
                  <c:v>0.16204540450942101</c:v>
                </c:pt>
                <c:pt idx="12">
                  <c:v>-0.118692301687724</c:v>
                </c:pt>
                <c:pt idx="13">
                  <c:v>0.56086074923495399</c:v>
                </c:pt>
                <c:pt idx="14">
                  <c:v>-1.0361325322980901</c:v>
                </c:pt>
                <c:pt idx="15">
                  <c:v>1.7926595220862599E-2</c:v>
                </c:pt>
                <c:pt idx="16">
                  <c:v>-0.24993768463982399</c:v>
                </c:pt>
                <c:pt idx="17">
                  <c:v>-5.94163034676157E-2</c:v>
                </c:pt>
                <c:pt idx="18">
                  <c:v>1.34874020319953E-2</c:v>
                </c:pt>
                <c:pt idx="19">
                  <c:v>3.4770551982484202E-2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52344"/>
        <c:axId val="557642936"/>
      </c:scatterChart>
      <c:valAx>
        <c:axId val="557652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Principal Component 1</a:t>
                </a:r>
              </a:p>
            </c:rich>
          </c:tx>
          <c:layout>
            <c:manualLayout>
              <c:xMode val="edge"/>
              <c:yMode val="edge"/>
              <c:x val="0.40264687448945025"/>
              <c:y val="0.900001292511047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42936"/>
        <c:crossesAt val="-4"/>
        <c:crossBetween val="midCat"/>
      </c:valAx>
      <c:valAx>
        <c:axId val="557642936"/>
        <c:scaling>
          <c:orientation val="minMax"/>
          <c:max val="1.2"/>
          <c:min val="-1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Principal Component 2</a:t>
                </a:r>
              </a:p>
            </c:rich>
          </c:tx>
          <c:layout>
            <c:manualLayout>
              <c:xMode val="edge"/>
              <c:yMode val="edge"/>
              <c:x val="3.0245774609536168E-2"/>
              <c:y val="0.217647371391560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52344"/>
        <c:crossesAt val="-4"/>
        <c:crossBetween val="midCat"/>
        <c:majorUnit val="0.4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35176035244892"/>
          <c:y val="7.0588336667533128E-2"/>
          <c:w val="0.76559616980388423"/>
          <c:h val="0.7500010770925394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PCA!$O$76:$O$95</c:f>
              <c:numCache>
                <c:formatCode>0.000</c:formatCode>
                <c:ptCount val="20"/>
                <c:pt idx="0">
                  <c:v>-6.8561486751703898E-2</c:v>
                </c:pt>
                <c:pt idx="1">
                  <c:v>0.115569594097649</c:v>
                </c:pt>
                <c:pt idx="2">
                  <c:v>-0.22873965919598799</c:v>
                </c:pt>
                <c:pt idx="3">
                  <c:v>7.1680663511294804E-2</c:v>
                </c:pt>
                <c:pt idx="4">
                  <c:v>-0.30022195353021103</c:v>
                </c:pt>
                <c:pt idx="5">
                  <c:v>0.163113046795758</c:v>
                </c:pt>
                <c:pt idx="6">
                  <c:v>-1.6004216328916899E-2</c:v>
                </c:pt>
                <c:pt idx="7">
                  <c:v>0.25738371335846799</c:v>
                </c:pt>
                <c:pt idx="8">
                  <c:v>-0.13767758161076701</c:v>
                </c:pt>
                <c:pt idx="9">
                  <c:v>0.25547947730124498</c:v>
                </c:pt>
                <c:pt idx="10">
                  <c:v>0.147658012317986</c:v>
                </c:pt>
                <c:pt idx="11">
                  <c:v>-0.38185503721206199</c:v>
                </c:pt>
                <c:pt idx="12">
                  <c:v>3.9170876767874599E-3</c:v>
                </c:pt>
                <c:pt idx="13">
                  <c:v>0.32632647687307897</c:v>
                </c:pt>
                <c:pt idx="14">
                  <c:v>3.8128566063425198E-2</c:v>
                </c:pt>
                <c:pt idx="15">
                  <c:v>0.66370725412773601</c:v>
                </c:pt>
                <c:pt idx="16">
                  <c:v>-0.116749835306005</c:v>
                </c:pt>
                <c:pt idx="17">
                  <c:v>-0.64171020998405803</c:v>
                </c:pt>
                <c:pt idx="18">
                  <c:v>-0.24921096456299399</c:v>
                </c:pt>
                <c:pt idx="19">
                  <c:v>0.118013401774581</c:v>
                </c:pt>
              </c:numCache>
            </c:numRef>
          </c:xVal>
          <c:yVal>
            <c:numRef>
              <c:f>PCA!$N$76:$N$95</c:f>
              <c:numCache>
                <c:formatCode>0.000</c:formatCode>
                <c:ptCount val="20"/>
                <c:pt idx="0">
                  <c:v>-0.37508597835136498</c:v>
                </c:pt>
                <c:pt idx="1">
                  <c:v>3.9833325181734901E-2</c:v>
                </c:pt>
                <c:pt idx="2">
                  <c:v>-0.33471791891405001</c:v>
                </c:pt>
                <c:pt idx="3">
                  <c:v>-0.126806830235282</c:v>
                </c:pt>
                <c:pt idx="4">
                  <c:v>0.65303927779989401</c:v>
                </c:pt>
                <c:pt idx="5">
                  <c:v>0.185354538231878</c:v>
                </c:pt>
                <c:pt idx="6">
                  <c:v>6.2725176986276901E-2</c:v>
                </c:pt>
                <c:pt idx="7">
                  <c:v>-0.32207075009847103</c:v>
                </c:pt>
                <c:pt idx="8">
                  <c:v>0.53948230455191304</c:v>
                </c:pt>
                <c:pt idx="9">
                  <c:v>0.11840948837632299</c:v>
                </c:pt>
                <c:pt idx="10">
                  <c:v>0.222696650785735</c:v>
                </c:pt>
                <c:pt idx="11">
                  <c:v>0.16204540450942101</c:v>
                </c:pt>
                <c:pt idx="12">
                  <c:v>-0.118692301687724</c:v>
                </c:pt>
                <c:pt idx="13">
                  <c:v>0.56086074923495399</c:v>
                </c:pt>
                <c:pt idx="14">
                  <c:v>-1.0361325322980901</c:v>
                </c:pt>
                <c:pt idx="15">
                  <c:v>1.7926595220862599E-2</c:v>
                </c:pt>
                <c:pt idx="16">
                  <c:v>-0.24993768463982399</c:v>
                </c:pt>
                <c:pt idx="17">
                  <c:v>-5.94163034676157E-2</c:v>
                </c:pt>
                <c:pt idx="18">
                  <c:v>1.34874020319953E-2</c:v>
                </c:pt>
                <c:pt idx="19">
                  <c:v>3.4770551982484202E-2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44112"/>
        <c:axId val="557653128"/>
      </c:scatterChart>
      <c:valAx>
        <c:axId val="55764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Principal Component 3</a:t>
                </a:r>
              </a:p>
            </c:rich>
          </c:tx>
          <c:layout>
            <c:manualLayout>
              <c:xMode val="edge"/>
              <c:yMode val="edge"/>
              <c:x val="0.40264687448945025"/>
              <c:y val="0.900001292511047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53128"/>
        <c:crossesAt val="-1.2"/>
        <c:crossBetween val="midCat"/>
      </c:valAx>
      <c:valAx>
        <c:axId val="557653128"/>
        <c:scaling>
          <c:orientation val="minMax"/>
          <c:max val="1.2"/>
          <c:min val="-1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Principal Component 2</a:t>
                </a:r>
              </a:p>
            </c:rich>
          </c:tx>
          <c:layout>
            <c:manualLayout>
              <c:xMode val="edge"/>
              <c:yMode val="edge"/>
              <c:x val="3.0245774609536168E-2"/>
              <c:y val="0.2176473713915604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44112"/>
        <c:crossesAt val="-1"/>
        <c:crossBetween val="midCat"/>
        <c:majorUnit val="0.4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46218487394958"/>
          <c:y val="7.0588336667533128E-2"/>
          <c:w val="0.77941176470588236"/>
          <c:h val="0.7617657998704616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PCA!$H$56:$H$75</c:f>
              <c:numCache>
                <c:formatCode>0.00</c:formatCode>
                <c:ptCount val="20"/>
                <c:pt idx="0">
                  <c:v>-1.2906134748462055</c:v>
                </c:pt>
                <c:pt idx="1">
                  <c:v>-1.5618580465392646</c:v>
                </c:pt>
                <c:pt idx="2">
                  <c:v>0.79519106376700233</c:v>
                </c:pt>
                <c:pt idx="3">
                  <c:v>-1.1768298539941973</c:v>
                </c:pt>
                <c:pt idx="4">
                  <c:v>-0.17576613456192586</c:v>
                </c:pt>
                <c:pt idx="5">
                  <c:v>0.28985483084021962</c:v>
                </c:pt>
                <c:pt idx="6">
                  <c:v>-0.82444688071279548</c:v>
                </c:pt>
                <c:pt idx="7">
                  <c:v>-0.24824506834927068</c:v>
                </c:pt>
                <c:pt idx="8">
                  <c:v>-0.87861040589934125</c:v>
                </c:pt>
                <c:pt idx="9">
                  <c:v>-1.4352156202384054</c:v>
                </c:pt>
                <c:pt idx="10">
                  <c:v>-0.87815964149921211</c:v>
                </c:pt>
                <c:pt idx="11">
                  <c:v>-0.8917917783906798</c:v>
                </c:pt>
                <c:pt idx="12">
                  <c:v>7.7020592265663546E-2</c:v>
                </c:pt>
                <c:pt idx="13">
                  <c:v>0.90600897535229497</c:v>
                </c:pt>
                <c:pt idx="14">
                  <c:v>1.3742161491325726</c:v>
                </c:pt>
                <c:pt idx="15">
                  <c:v>2.050536003520028</c:v>
                </c:pt>
                <c:pt idx="16">
                  <c:v>-1.2381818925924399</c:v>
                </c:pt>
                <c:pt idx="17">
                  <c:v>0.21051956308946615</c:v>
                </c:pt>
                <c:pt idx="18">
                  <c:v>3.8870652150193532</c:v>
                </c:pt>
                <c:pt idx="19">
                  <c:v>1.0093064046371367</c:v>
                </c:pt>
              </c:numCache>
            </c:numRef>
          </c:xVal>
          <c:yVal>
            <c:numRef>
              <c:f>PCA!$I$56:$I$75</c:f>
              <c:numCache>
                <c:formatCode>0.00</c:formatCode>
                <c:ptCount val="20"/>
                <c:pt idx="0">
                  <c:v>0.28969681952459836</c:v>
                </c:pt>
                <c:pt idx="1">
                  <c:v>-0.10802639641780576</c:v>
                </c:pt>
                <c:pt idx="2">
                  <c:v>0.381444434972603</c:v>
                </c:pt>
                <c:pt idx="3">
                  <c:v>2.6735542612600582E-2</c:v>
                </c:pt>
                <c:pt idx="4">
                  <c:v>-0.16432923587980414</c:v>
                </c:pt>
                <c:pt idx="5">
                  <c:v>-0.24229733725143862</c:v>
                </c:pt>
                <c:pt idx="6">
                  <c:v>-2.1845696726261021E-2</c:v>
                </c:pt>
                <c:pt idx="7">
                  <c:v>-2.6881260566596898E-3</c:v>
                </c:pt>
                <c:pt idx="8">
                  <c:v>-0.21863407606632346</c:v>
                </c:pt>
                <c:pt idx="9">
                  <c:v>-0.26663367842397945</c:v>
                </c:pt>
                <c:pt idx="10">
                  <c:v>-0.24778469649050916</c:v>
                </c:pt>
                <c:pt idx="11">
                  <c:v>0.20413221885497346</c:v>
                </c:pt>
                <c:pt idx="12">
                  <c:v>6.9620246059584889E-2</c:v>
                </c:pt>
                <c:pt idx="13">
                  <c:v>-0.60298889194175043</c:v>
                </c:pt>
                <c:pt idx="14">
                  <c:v>0.59987083247833906</c:v>
                </c:pt>
                <c:pt idx="15">
                  <c:v>-0.5402579273535203</c:v>
                </c:pt>
                <c:pt idx="16">
                  <c:v>0.25063321232139096</c:v>
                </c:pt>
                <c:pt idx="17">
                  <c:v>0.53949858988696431</c:v>
                </c:pt>
                <c:pt idx="18">
                  <c:v>0.17141866082184443</c:v>
                </c:pt>
                <c:pt idx="19">
                  <c:v>-0.11756449492484561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45288"/>
        <c:axId val="557647248"/>
      </c:scatterChart>
      <c:valAx>
        <c:axId val="557645288"/>
        <c:scaling>
          <c:orientation val="minMax"/>
          <c:max val="4"/>
          <c:min val="-2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Principal Component 1</a:t>
                </a:r>
              </a:p>
            </c:rich>
          </c:tx>
          <c:layout>
            <c:manualLayout>
              <c:xMode val="edge"/>
              <c:yMode val="edge"/>
              <c:x val="0.38655462184873951"/>
              <c:y val="0.90294247320552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47248"/>
        <c:crossesAt val="-2"/>
        <c:crossBetween val="midCat"/>
        <c:majorUnit val="2"/>
        <c:minorUnit val="0.5"/>
      </c:valAx>
      <c:valAx>
        <c:axId val="557647248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Principal Component 2</a:t>
                </a:r>
              </a:p>
            </c:rich>
          </c:tx>
          <c:layout>
            <c:manualLayout>
              <c:xMode val="edge"/>
              <c:yMode val="edge"/>
              <c:x val="3.3613445378151259E-2"/>
              <c:y val="0.229412094169482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45288"/>
        <c:crossesAt val="-2"/>
        <c:crossBetween val="midCat"/>
        <c:majorUnit val="0.4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Trilobite Data (Unstandardized)</a:t>
            </a:r>
          </a:p>
        </c:rich>
      </c:tx>
      <c:layout>
        <c:manualLayout>
          <c:xMode val="edge"/>
          <c:yMode val="edge"/>
          <c:x val="0.250000252211643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42165852359339"/>
          <c:y val="0.18181818181818182"/>
          <c:w val="0.76446358114304336"/>
          <c:h val="0.6497326203208556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name>0.69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intercept val="1.85"/>
            <c:dispRSqr val="0"/>
            <c:dispEq val="1"/>
            <c:trendlineLbl>
              <c:layout>
                <c:manualLayout>
                  <c:xMode val="edge"/>
                  <c:yMode val="edge"/>
                  <c:x val="0.19008283639232429"/>
                  <c:y val="0.2192513368983957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n-GB"/>
                      <a:t>y = 0.69x + 1.85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'Regression 2'!$C$8:$C$25</c:f>
              <c:numCache>
                <c:formatCode>0.00</c:formatCode>
                <c:ptCount val="18"/>
                <c:pt idx="0">
                  <c:v>5.0999999999999996</c:v>
                </c:pt>
                <c:pt idx="1">
                  <c:v>4.5999999999999996</c:v>
                </c:pt>
                <c:pt idx="2">
                  <c:v>12.98</c:v>
                </c:pt>
                <c:pt idx="3">
                  <c:v>7.9</c:v>
                </c:pt>
                <c:pt idx="4">
                  <c:v>12.83</c:v>
                </c:pt>
                <c:pt idx="5">
                  <c:v>16.41</c:v>
                </c:pt>
                <c:pt idx="6">
                  <c:v>6.6</c:v>
                </c:pt>
                <c:pt idx="7">
                  <c:v>10</c:v>
                </c:pt>
                <c:pt idx="8">
                  <c:v>8.08</c:v>
                </c:pt>
                <c:pt idx="9">
                  <c:v>15.67</c:v>
                </c:pt>
                <c:pt idx="10">
                  <c:v>4.53</c:v>
                </c:pt>
                <c:pt idx="11">
                  <c:v>6.44</c:v>
                </c:pt>
                <c:pt idx="12">
                  <c:v>21.53</c:v>
                </c:pt>
                <c:pt idx="13">
                  <c:v>12.82</c:v>
                </c:pt>
                <c:pt idx="14">
                  <c:v>22.27</c:v>
                </c:pt>
                <c:pt idx="15">
                  <c:v>4.93</c:v>
                </c:pt>
                <c:pt idx="16">
                  <c:v>16.350000000000001</c:v>
                </c:pt>
                <c:pt idx="17">
                  <c:v>13.41</c:v>
                </c:pt>
              </c:numCache>
            </c:numRef>
          </c:xVal>
          <c:yVal>
            <c:numRef>
              <c:f>'Regression 2'!$E$8:$E$25</c:f>
              <c:numCache>
                <c:formatCode>0.00</c:formatCode>
                <c:ptCount val="18"/>
                <c:pt idx="0">
                  <c:v>3.46</c:v>
                </c:pt>
                <c:pt idx="1">
                  <c:v>6.53</c:v>
                </c:pt>
                <c:pt idx="2">
                  <c:v>14.15</c:v>
                </c:pt>
                <c:pt idx="3">
                  <c:v>5.32</c:v>
                </c:pt>
                <c:pt idx="4">
                  <c:v>12.96</c:v>
                </c:pt>
                <c:pt idx="5">
                  <c:v>13.08</c:v>
                </c:pt>
                <c:pt idx="6">
                  <c:v>6.84</c:v>
                </c:pt>
                <c:pt idx="7">
                  <c:v>9.1199999999999992</c:v>
                </c:pt>
                <c:pt idx="8">
                  <c:v>10.77</c:v>
                </c:pt>
                <c:pt idx="9">
                  <c:v>9.25</c:v>
                </c:pt>
                <c:pt idx="10">
                  <c:v>4.1100000000000003</c:v>
                </c:pt>
                <c:pt idx="11">
                  <c:v>6.94</c:v>
                </c:pt>
                <c:pt idx="12">
                  <c:v>14.64</c:v>
                </c:pt>
                <c:pt idx="13">
                  <c:v>9.36</c:v>
                </c:pt>
                <c:pt idx="14">
                  <c:v>17.559999999999999</c:v>
                </c:pt>
                <c:pt idx="15">
                  <c:v>6.21</c:v>
                </c:pt>
                <c:pt idx="16">
                  <c:v>15.02</c:v>
                </c:pt>
                <c:pt idx="17">
                  <c:v>8.51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59008"/>
        <c:axId val="557665672"/>
      </c:scatterChart>
      <c:valAx>
        <c:axId val="55765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Length (mm)</a:t>
                </a:r>
              </a:p>
            </c:rich>
          </c:tx>
          <c:layout>
            <c:manualLayout>
              <c:xMode val="edge"/>
              <c:yMode val="edge"/>
              <c:x val="0.46487650204644526"/>
              <c:y val="0.8957219251336898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65672"/>
        <c:crosses val="autoZero"/>
        <c:crossBetween val="midCat"/>
      </c:valAx>
      <c:valAx>
        <c:axId val="557665672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Width (mm)</a:t>
                </a:r>
              </a:p>
            </c:rich>
          </c:tx>
          <c:layout>
            <c:manualLayout>
              <c:xMode val="edge"/>
              <c:yMode val="edge"/>
              <c:x val="3.3057884589969444E-2"/>
              <c:y val="0.4037433155080213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59008"/>
        <c:crosses val="autoZero"/>
        <c:crossBetween val="midCat"/>
        <c:majorUnit val="4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00610997963339"/>
          <c:y val="6.4171122994652413E-2"/>
          <c:w val="0.76782077393075354"/>
          <c:h val="0.767379679144384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'Regression 2'!$E$7</c:f>
              <c:strCache>
                <c:ptCount val="1"/>
                <c:pt idx="0">
                  <c:v>Width (mm)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name>L-S (Y on X)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intercept val="2.5099999999999998"/>
            <c:dispRSqr val="0"/>
            <c:dispEq val="1"/>
            <c:trendlineLbl>
              <c:layout>
                <c:manualLayout>
                  <c:xMode val="edge"/>
                  <c:yMode val="edge"/>
                  <c:x val="0.18126272912423624"/>
                  <c:y val="8.556149732620320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n-GB"/>
                      <a:t>y = 0.64x + 2.51 (L-S: Y on X)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trendline>
            <c:name>L-S (X on Y)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intercept val="-0.44522"/>
            <c:dispRSqr val="0"/>
            <c:dispEq val="1"/>
            <c:trendlineLbl>
              <c:layout>
                <c:manualLayout>
                  <c:xMode val="edge"/>
                  <c:yMode val="edge"/>
                  <c:x val="0.18533604887983707"/>
                  <c:y val="0.14171122994652408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n-GB"/>
                      <a:t>y = 0.83x - 0.45 (L-S: X on Y)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trendline>
            <c:name>RMA</c:name>
            <c:spPr>
              <a:ln w="12700">
                <a:solidFill>
                  <a:srgbClr val="F20884"/>
                </a:solidFill>
                <a:prstDash val="solid"/>
              </a:ln>
            </c:spPr>
            <c:trendlineType val="linear"/>
            <c:intercept val="1.5088999999999999"/>
            <c:dispRSqr val="0"/>
            <c:dispEq val="1"/>
            <c:trendlineLbl>
              <c:layout>
                <c:manualLayout>
                  <c:xMode val="edge"/>
                  <c:yMode val="edge"/>
                  <c:x val="0.18533604887983707"/>
                  <c:y val="0.19518716577540107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Verdana"/>
                        <a:ea typeface="Verdana"/>
                        <a:cs typeface="Verdana"/>
                      </a:rPr>
                      <a:t>y = 0.72x + 1.51 (</a:t>
                    </a:r>
                    <a:r>
                      <a:rPr lang="en-GB" sz="800" b="0" i="0" u="none" strike="noStrike" baseline="0">
                        <a:solidFill>
                          <a:srgbClr val="FCF305"/>
                        </a:solidFill>
                        <a:latin typeface="Verdana"/>
                        <a:ea typeface="Verdana"/>
                        <a:cs typeface="Verdana"/>
                      </a:rPr>
                      <a:t>RMA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Verdana"/>
                        <a:ea typeface="Verdana"/>
                        <a:cs typeface="Verdana"/>
                      </a:rPr>
                      <a:t>)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trendline>
            <c:name>MA</c:name>
            <c:spPr>
              <a:ln w="12700">
                <a:solidFill>
                  <a:srgbClr val="FCF305"/>
                </a:solidFill>
                <a:prstDash val="solid"/>
              </a:ln>
            </c:spPr>
            <c:trendlineType val="linear"/>
            <c:intercept val="1.8544"/>
            <c:dispRSqr val="0"/>
            <c:dispEq val="1"/>
            <c:trendlineLbl>
              <c:layout>
                <c:manualLayout>
                  <c:xMode val="edge"/>
                  <c:yMode val="edge"/>
                  <c:x val="0.18329938900203666"/>
                  <c:y val="0.2513368983957219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Verdana"/>
                        <a:ea typeface="Verdana"/>
                        <a:cs typeface="Verdana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Verdana"/>
                        <a:ea typeface="Verdana"/>
                        <a:cs typeface="Verdana"/>
                      </a:rPr>
                      <a:t>y = 0.69x + 1.85 (</a:t>
                    </a:r>
                    <a:r>
                      <a:rPr lang="en-GB" sz="800" b="0" i="0" u="none" strike="noStrike" baseline="0">
                        <a:solidFill>
                          <a:srgbClr val="F20884"/>
                        </a:solidFill>
                        <a:latin typeface="Verdana"/>
                        <a:ea typeface="Verdana"/>
                        <a:cs typeface="Verdana"/>
                      </a:rPr>
                      <a:t>MA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Verdana"/>
                        <a:ea typeface="Verdana"/>
                        <a:cs typeface="Verdana"/>
                      </a:rPr>
                      <a:t>)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'Regression 2'!$C$8:$C$25</c:f>
              <c:numCache>
                <c:formatCode>0.00</c:formatCode>
                <c:ptCount val="18"/>
                <c:pt idx="0">
                  <c:v>5.0999999999999996</c:v>
                </c:pt>
                <c:pt idx="1">
                  <c:v>4.5999999999999996</c:v>
                </c:pt>
                <c:pt idx="2">
                  <c:v>12.98</c:v>
                </c:pt>
                <c:pt idx="3">
                  <c:v>7.9</c:v>
                </c:pt>
                <c:pt idx="4">
                  <c:v>12.83</c:v>
                </c:pt>
                <c:pt idx="5">
                  <c:v>16.41</c:v>
                </c:pt>
                <c:pt idx="6">
                  <c:v>6.6</c:v>
                </c:pt>
                <c:pt idx="7">
                  <c:v>10</c:v>
                </c:pt>
                <c:pt idx="8">
                  <c:v>8.08</c:v>
                </c:pt>
                <c:pt idx="9">
                  <c:v>15.67</c:v>
                </c:pt>
                <c:pt idx="10">
                  <c:v>4.53</c:v>
                </c:pt>
                <c:pt idx="11">
                  <c:v>6.44</c:v>
                </c:pt>
                <c:pt idx="12">
                  <c:v>21.53</c:v>
                </c:pt>
                <c:pt idx="13">
                  <c:v>12.82</c:v>
                </c:pt>
                <c:pt idx="14">
                  <c:v>22.27</c:v>
                </c:pt>
                <c:pt idx="15">
                  <c:v>4.93</c:v>
                </c:pt>
                <c:pt idx="16">
                  <c:v>16.350000000000001</c:v>
                </c:pt>
                <c:pt idx="17">
                  <c:v>13.41</c:v>
                </c:pt>
              </c:numCache>
            </c:numRef>
          </c:xVal>
          <c:yVal>
            <c:numRef>
              <c:f>'Regression 2'!$E$8:$E$25</c:f>
              <c:numCache>
                <c:formatCode>0.00</c:formatCode>
                <c:ptCount val="18"/>
                <c:pt idx="0">
                  <c:v>3.46</c:v>
                </c:pt>
                <c:pt idx="1">
                  <c:v>6.53</c:v>
                </c:pt>
                <c:pt idx="2">
                  <c:v>14.15</c:v>
                </c:pt>
                <c:pt idx="3">
                  <c:v>5.32</c:v>
                </c:pt>
                <c:pt idx="4">
                  <c:v>12.96</c:v>
                </c:pt>
                <c:pt idx="5">
                  <c:v>13.08</c:v>
                </c:pt>
                <c:pt idx="6">
                  <c:v>6.84</c:v>
                </c:pt>
                <c:pt idx="7">
                  <c:v>9.1199999999999992</c:v>
                </c:pt>
                <c:pt idx="8">
                  <c:v>10.77</c:v>
                </c:pt>
                <c:pt idx="9">
                  <c:v>9.25</c:v>
                </c:pt>
                <c:pt idx="10">
                  <c:v>4.1100000000000003</c:v>
                </c:pt>
                <c:pt idx="11">
                  <c:v>6.94</c:v>
                </c:pt>
                <c:pt idx="12">
                  <c:v>14.64</c:v>
                </c:pt>
                <c:pt idx="13">
                  <c:v>9.36</c:v>
                </c:pt>
                <c:pt idx="14">
                  <c:v>17.559999999999999</c:v>
                </c:pt>
                <c:pt idx="15">
                  <c:v>6.21</c:v>
                </c:pt>
                <c:pt idx="16">
                  <c:v>15.02</c:v>
                </c:pt>
                <c:pt idx="17">
                  <c:v>8.51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59792"/>
        <c:axId val="557666456"/>
      </c:scatterChart>
      <c:valAx>
        <c:axId val="55765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Length (mm)</a:t>
                </a:r>
              </a:p>
            </c:rich>
          </c:tx>
          <c:layout>
            <c:manualLayout>
              <c:xMode val="edge"/>
              <c:yMode val="edge"/>
              <c:x val="0.46435845213849286"/>
              <c:y val="0.8957219251336898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66456"/>
        <c:crosses val="autoZero"/>
        <c:crossBetween val="midCat"/>
      </c:valAx>
      <c:valAx>
        <c:axId val="5576664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Width (mm)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344919786096256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59792"/>
        <c:crosses val="autoZero"/>
        <c:crossBetween val="midCat"/>
        <c:majorUnit val="4"/>
        <c:min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GB"/>
              <a:t>Scattergram</a:t>
            </a:r>
          </a:p>
        </c:rich>
      </c:tx>
      <c:layout>
        <c:manualLayout>
          <c:xMode val="edge"/>
          <c:yMode val="edge"/>
          <c:x val="0.38627524945475156"/>
          <c:y val="3.02325924697861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7454096687532"/>
          <c:y val="0.15581413042120551"/>
          <c:w val="0.77058971084120487"/>
          <c:h val="0.7023263789134934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'Regression 1'!$C$8:$C$25</c:f>
              <c:numCache>
                <c:formatCode>0.00</c:formatCode>
                <c:ptCount val="18"/>
                <c:pt idx="0">
                  <c:v>5.0999999999999996</c:v>
                </c:pt>
                <c:pt idx="1">
                  <c:v>4.5999999999999996</c:v>
                </c:pt>
                <c:pt idx="2">
                  <c:v>12.98</c:v>
                </c:pt>
                <c:pt idx="3">
                  <c:v>7.9</c:v>
                </c:pt>
                <c:pt idx="4">
                  <c:v>12.83</c:v>
                </c:pt>
                <c:pt idx="5">
                  <c:v>16.41</c:v>
                </c:pt>
                <c:pt idx="6">
                  <c:v>6.6</c:v>
                </c:pt>
                <c:pt idx="7">
                  <c:v>10</c:v>
                </c:pt>
                <c:pt idx="8">
                  <c:v>8.08</c:v>
                </c:pt>
                <c:pt idx="9">
                  <c:v>15.67</c:v>
                </c:pt>
                <c:pt idx="10">
                  <c:v>4.53</c:v>
                </c:pt>
                <c:pt idx="11">
                  <c:v>6.44</c:v>
                </c:pt>
                <c:pt idx="12">
                  <c:v>21.53</c:v>
                </c:pt>
                <c:pt idx="13">
                  <c:v>12.82</c:v>
                </c:pt>
                <c:pt idx="14">
                  <c:v>22.27</c:v>
                </c:pt>
                <c:pt idx="15">
                  <c:v>4.93</c:v>
                </c:pt>
                <c:pt idx="16">
                  <c:v>16.350000000000001</c:v>
                </c:pt>
                <c:pt idx="17">
                  <c:v>13.41</c:v>
                </c:pt>
              </c:numCache>
            </c:numRef>
          </c:xVal>
          <c:yVal>
            <c:numRef>
              <c:f>'Regression 1'!$D$8:$D$25</c:f>
              <c:numCache>
                <c:formatCode>0.00</c:formatCode>
                <c:ptCount val="18"/>
                <c:pt idx="0">
                  <c:v>3.46</c:v>
                </c:pt>
                <c:pt idx="1">
                  <c:v>6.53</c:v>
                </c:pt>
                <c:pt idx="2">
                  <c:v>14.15</c:v>
                </c:pt>
                <c:pt idx="3">
                  <c:v>5.32</c:v>
                </c:pt>
                <c:pt idx="4">
                  <c:v>12.96</c:v>
                </c:pt>
                <c:pt idx="5">
                  <c:v>13.08</c:v>
                </c:pt>
                <c:pt idx="6">
                  <c:v>6.84</c:v>
                </c:pt>
                <c:pt idx="7">
                  <c:v>9.1199999999999992</c:v>
                </c:pt>
                <c:pt idx="8">
                  <c:v>10.77</c:v>
                </c:pt>
                <c:pt idx="9">
                  <c:v>9.25</c:v>
                </c:pt>
                <c:pt idx="10">
                  <c:v>4.1100000000000003</c:v>
                </c:pt>
                <c:pt idx="11">
                  <c:v>6.94</c:v>
                </c:pt>
                <c:pt idx="12">
                  <c:v>14.64</c:v>
                </c:pt>
                <c:pt idx="13">
                  <c:v>9.36</c:v>
                </c:pt>
                <c:pt idx="14">
                  <c:v>17.559999999999999</c:v>
                </c:pt>
                <c:pt idx="15">
                  <c:v>6.21</c:v>
                </c:pt>
                <c:pt idx="16">
                  <c:v>15.02</c:v>
                </c:pt>
                <c:pt idx="17">
                  <c:v>8.51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56264"/>
        <c:axId val="557658224"/>
      </c:scatterChart>
      <c:valAx>
        <c:axId val="557656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Length (mm)</a:t>
                </a:r>
              </a:p>
            </c:rich>
          </c:tx>
          <c:layout>
            <c:manualLayout>
              <c:xMode val="edge"/>
              <c:yMode val="edge"/>
              <c:x val="0.4568636199134879"/>
              <c:y val="0.920931278310408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58224"/>
        <c:crosses val="autoZero"/>
        <c:crossBetween val="midCat"/>
      </c:valAx>
      <c:valAx>
        <c:axId val="557658224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Width (mm)</a:t>
                </a:r>
              </a:p>
            </c:rich>
          </c:tx>
          <c:layout>
            <c:manualLayout>
              <c:xMode val="edge"/>
              <c:yMode val="edge"/>
              <c:x val="3.1372609092771703E-2"/>
              <c:y val="0.4069772063240442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56264"/>
        <c:crosses val="autoZero"/>
        <c:crossBetween val="midCat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GB"/>
              <a:t>MS-Word Trendline</a:t>
            </a:r>
          </a:p>
        </c:rich>
      </c:tx>
      <c:layout>
        <c:manualLayout>
          <c:xMode val="edge"/>
          <c:yMode val="edge"/>
          <c:x val="0.32745160740580465"/>
          <c:y val="3.2911392405063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7454096687532"/>
          <c:y val="0.16455696202531644"/>
          <c:w val="0.77058971084120487"/>
          <c:h val="0.6810126582278480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layout>
                <c:manualLayout>
                  <c:xMode val="edge"/>
                  <c:yMode val="edge"/>
                  <c:x val="0.17843171421513904"/>
                  <c:y val="0.189873417721519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</c:trendlineLbl>
          </c:trendline>
          <c:xVal>
            <c:numRef>
              <c:f>'Regression 1'!$C$8:$C$25</c:f>
              <c:numCache>
                <c:formatCode>0.00</c:formatCode>
                <c:ptCount val="18"/>
                <c:pt idx="0">
                  <c:v>5.0999999999999996</c:v>
                </c:pt>
                <c:pt idx="1">
                  <c:v>4.5999999999999996</c:v>
                </c:pt>
                <c:pt idx="2">
                  <c:v>12.98</c:v>
                </c:pt>
                <c:pt idx="3">
                  <c:v>7.9</c:v>
                </c:pt>
                <c:pt idx="4">
                  <c:v>12.83</c:v>
                </c:pt>
                <c:pt idx="5">
                  <c:v>16.41</c:v>
                </c:pt>
                <c:pt idx="6">
                  <c:v>6.6</c:v>
                </c:pt>
                <c:pt idx="7">
                  <c:v>10</c:v>
                </c:pt>
                <c:pt idx="8">
                  <c:v>8.08</c:v>
                </c:pt>
                <c:pt idx="9">
                  <c:v>15.67</c:v>
                </c:pt>
                <c:pt idx="10">
                  <c:v>4.53</c:v>
                </c:pt>
                <c:pt idx="11">
                  <c:v>6.44</c:v>
                </c:pt>
                <c:pt idx="12">
                  <c:v>21.53</c:v>
                </c:pt>
                <c:pt idx="13">
                  <c:v>12.82</c:v>
                </c:pt>
                <c:pt idx="14">
                  <c:v>22.27</c:v>
                </c:pt>
                <c:pt idx="15">
                  <c:v>4.93</c:v>
                </c:pt>
                <c:pt idx="16">
                  <c:v>16.350000000000001</c:v>
                </c:pt>
                <c:pt idx="17">
                  <c:v>13.41</c:v>
                </c:pt>
              </c:numCache>
            </c:numRef>
          </c:xVal>
          <c:yVal>
            <c:numRef>
              <c:f>'Regression 1'!$D$8:$D$25</c:f>
              <c:numCache>
                <c:formatCode>0.00</c:formatCode>
                <c:ptCount val="18"/>
                <c:pt idx="0">
                  <c:v>3.46</c:v>
                </c:pt>
                <c:pt idx="1">
                  <c:v>6.53</c:v>
                </c:pt>
                <c:pt idx="2">
                  <c:v>14.15</c:v>
                </c:pt>
                <c:pt idx="3">
                  <c:v>5.32</c:v>
                </c:pt>
                <c:pt idx="4">
                  <c:v>12.96</c:v>
                </c:pt>
                <c:pt idx="5">
                  <c:v>13.08</c:v>
                </c:pt>
                <c:pt idx="6">
                  <c:v>6.84</c:v>
                </c:pt>
                <c:pt idx="7">
                  <c:v>9.1199999999999992</c:v>
                </c:pt>
                <c:pt idx="8">
                  <c:v>10.77</c:v>
                </c:pt>
                <c:pt idx="9">
                  <c:v>9.25</c:v>
                </c:pt>
                <c:pt idx="10">
                  <c:v>4.1100000000000003</c:v>
                </c:pt>
                <c:pt idx="11">
                  <c:v>6.94</c:v>
                </c:pt>
                <c:pt idx="12">
                  <c:v>14.64</c:v>
                </c:pt>
                <c:pt idx="13">
                  <c:v>9.36</c:v>
                </c:pt>
                <c:pt idx="14">
                  <c:v>17.559999999999999</c:v>
                </c:pt>
                <c:pt idx="15">
                  <c:v>6.21</c:v>
                </c:pt>
                <c:pt idx="16">
                  <c:v>15.02</c:v>
                </c:pt>
                <c:pt idx="17">
                  <c:v>8.51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57832"/>
        <c:axId val="557656656"/>
      </c:scatterChart>
      <c:valAx>
        <c:axId val="557657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Length (mm)</a:t>
                </a:r>
              </a:p>
            </c:rich>
          </c:tx>
          <c:layout>
            <c:manualLayout>
              <c:xMode val="edge"/>
              <c:yMode val="edge"/>
              <c:x val="0.4568636199134879"/>
              <c:y val="0.9139240506329113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56656"/>
        <c:crosses val="autoZero"/>
        <c:crossBetween val="midCat"/>
      </c:valAx>
      <c:valAx>
        <c:axId val="557656656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Width (mm)</a:t>
                </a:r>
              </a:p>
            </c:rich>
          </c:tx>
          <c:layout>
            <c:manualLayout>
              <c:xMode val="edge"/>
              <c:yMode val="edge"/>
              <c:x val="3.1372609092771703E-2"/>
              <c:y val="0.394936708860759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57832"/>
        <c:crosses val="autoZero"/>
        <c:crossBetween val="midCat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GB"/>
              <a:t>Reduced Major Axis</a:t>
            </a:r>
          </a:p>
        </c:rich>
      </c:tx>
      <c:layout>
        <c:manualLayout>
          <c:xMode val="edge"/>
          <c:yMode val="edge"/>
          <c:x val="0.32421875"/>
          <c:y val="3.28283637852247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109375"/>
          <c:y val="0.16414181892612384"/>
          <c:w val="0.771484375"/>
          <c:h val="0.6818198632315913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name>0.72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intercept val="1.51"/>
            <c:dispRSqr val="0"/>
            <c:dispEq val="1"/>
            <c:trendlineLbl>
              <c:layout>
                <c:manualLayout>
                  <c:xMode val="edge"/>
                  <c:yMode val="edge"/>
                  <c:x val="0.185546875"/>
                  <c:y val="0.19697018271134861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</c:trendlineLbl>
          </c:trendline>
          <c:xVal>
            <c:numRef>
              <c:f>'Regression 1'!$C$8:$C$25</c:f>
              <c:numCache>
                <c:formatCode>0.00</c:formatCode>
                <c:ptCount val="18"/>
                <c:pt idx="0">
                  <c:v>5.0999999999999996</c:v>
                </c:pt>
                <c:pt idx="1">
                  <c:v>4.5999999999999996</c:v>
                </c:pt>
                <c:pt idx="2">
                  <c:v>12.98</c:v>
                </c:pt>
                <c:pt idx="3">
                  <c:v>7.9</c:v>
                </c:pt>
                <c:pt idx="4">
                  <c:v>12.83</c:v>
                </c:pt>
                <c:pt idx="5">
                  <c:v>16.41</c:v>
                </c:pt>
                <c:pt idx="6">
                  <c:v>6.6</c:v>
                </c:pt>
                <c:pt idx="7">
                  <c:v>10</c:v>
                </c:pt>
                <c:pt idx="8">
                  <c:v>8.08</c:v>
                </c:pt>
                <c:pt idx="9">
                  <c:v>15.67</c:v>
                </c:pt>
                <c:pt idx="10">
                  <c:v>4.53</c:v>
                </c:pt>
                <c:pt idx="11">
                  <c:v>6.44</c:v>
                </c:pt>
                <c:pt idx="12">
                  <c:v>21.53</c:v>
                </c:pt>
                <c:pt idx="13">
                  <c:v>12.82</c:v>
                </c:pt>
                <c:pt idx="14">
                  <c:v>22.27</c:v>
                </c:pt>
                <c:pt idx="15">
                  <c:v>4.93</c:v>
                </c:pt>
                <c:pt idx="16">
                  <c:v>16.350000000000001</c:v>
                </c:pt>
                <c:pt idx="17">
                  <c:v>13.41</c:v>
                </c:pt>
              </c:numCache>
            </c:numRef>
          </c:xVal>
          <c:yVal>
            <c:numRef>
              <c:f>'Regression 1'!$D$8:$D$25</c:f>
              <c:numCache>
                <c:formatCode>0.00</c:formatCode>
                <c:ptCount val="18"/>
                <c:pt idx="0">
                  <c:v>3.46</c:v>
                </c:pt>
                <c:pt idx="1">
                  <c:v>6.53</c:v>
                </c:pt>
                <c:pt idx="2">
                  <c:v>14.15</c:v>
                </c:pt>
                <c:pt idx="3">
                  <c:v>5.32</c:v>
                </c:pt>
                <c:pt idx="4">
                  <c:v>12.96</c:v>
                </c:pt>
                <c:pt idx="5">
                  <c:v>13.08</c:v>
                </c:pt>
                <c:pt idx="6">
                  <c:v>6.84</c:v>
                </c:pt>
                <c:pt idx="7">
                  <c:v>9.1199999999999992</c:v>
                </c:pt>
                <c:pt idx="8">
                  <c:v>10.77</c:v>
                </c:pt>
                <c:pt idx="9">
                  <c:v>9.25</c:v>
                </c:pt>
                <c:pt idx="10">
                  <c:v>4.1100000000000003</c:v>
                </c:pt>
                <c:pt idx="11">
                  <c:v>6.94</c:v>
                </c:pt>
                <c:pt idx="12">
                  <c:v>14.64</c:v>
                </c:pt>
                <c:pt idx="13">
                  <c:v>9.36</c:v>
                </c:pt>
                <c:pt idx="14">
                  <c:v>17.559999999999999</c:v>
                </c:pt>
                <c:pt idx="15">
                  <c:v>6.21</c:v>
                </c:pt>
                <c:pt idx="16">
                  <c:v>15.02</c:v>
                </c:pt>
                <c:pt idx="17">
                  <c:v>8.51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57048"/>
        <c:axId val="557658616"/>
      </c:scatterChart>
      <c:valAx>
        <c:axId val="557657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Length (mm)</a:t>
                </a:r>
              </a:p>
            </c:rich>
          </c:tx>
          <c:layout>
            <c:manualLayout>
              <c:xMode val="edge"/>
              <c:yMode val="edge"/>
              <c:x val="0.45703125"/>
              <c:y val="0.914143668480874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58616"/>
        <c:crosses val="autoZero"/>
        <c:crossBetween val="midCat"/>
      </c:valAx>
      <c:valAx>
        <c:axId val="557658616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GB"/>
                  <a:t>Width (mm)</a:t>
                </a:r>
              </a:p>
            </c:rich>
          </c:tx>
          <c:layout>
            <c:manualLayout>
              <c:xMode val="edge"/>
              <c:yMode val="edge"/>
              <c:x val="3.125E-2"/>
              <c:y val="0.39646562417540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657048"/>
        <c:crosses val="autoZero"/>
        <c:crossBetween val="midCat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78</xdr:row>
      <xdr:rowOff>0</xdr:rowOff>
    </xdr:from>
    <xdr:to>
      <xdr:col>11</xdr:col>
      <xdr:colOff>409575</xdr:colOff>
      <xdr:row>101</xdr:row>
      <xdr:rowOff>9525</xdr:rowOff>
    </xdr:to>
    <xdr:graphicFrame macro="">
      <xdr:nvGraphicFramePr>
        <xdr:cNvPr id="1844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238125</xdr:colOff>
      <xdr:row>84</xdr:row>
      <xdr:rowOff>9525</xdr:rowOff>
    </xdr:from>
    <xdr:to>
      <xdr:col>24</xdr:col>
      <xdr:colOff>266700</xdr:colOff>
      <xdr:row>107</xdr:row>
      <xdr:rowOff>95250</xdr:rowOff>
    </xdr:to>
    <xdr:graphicFrame macro="">
      <xdr:nvGraphicFramePr>
        <xdr:cNvPr id="184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419100</xdr:colOff>
      <xdr:row>78</xdr:row>
      <xdr:rowOff>0</xdr:rowOff>
    </xdr:from>
    <xdr:to>
      <xdr:col>39</xdr:col>
      <xdr:colOff>409575</xdr:colOff>
      <xdr:row>101</xdr:row>
      <xdr:rowOff>9525</xdr:rowOff>
    </xdr:to>
    <xdr:graphicFrame macro="">
      <xdr:nvGraphicFramePr>
        <xdr:cNvPr id="1844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95250</xdr:colOff>
      <xdr:row>84</xdr:row>
      <xdr:rowOff>0</xdr:rowOff>
    </xdr:from>
    <xdr:to>
      <xdr:col>53</xdr:col>
      <xdr:colOff>0</xdr:colOff>
      <xdr:row>106</xdr:row>
      <xdr:rowOff>47625</xdr:rowOff>
    </xdr:to>
    <xdr:graphicFrame macro="">
      <xdr:nvGraphicFramePr>
        <xdr:cNvPr id="184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53</xdr:col>
      <xdr:colOff>152400</xdr:colOff>
      <xdr:row>85</xdr:row>
      <xdr:rowOff>66675</xdr:rowOff>
    </xdr:from>
    <xdr:to>
      <xdr:col>54</xdr:col>
      <xdr:colOff>495300</xdr:colOff>
      <xdr:row>95</xdr:row>
      <xdr:rowOff>76200</xdr:rowOff>
    </xdr:to>
    <xdr:sp macro="" textlink="">
      <xdr:nvSpPr>
        <xdr:cNvPr id="18445" name="Text Box 13"/>
        <xdr:cNvSpPr txBox="1">
          <a:spLocks noChangeArrowheads="1"/>
        </xdr:cNvSpPr>
      </xdr:nvSpPr>
      <xdr:spPr bwMode="auto">
        <a:xfrm>
          <a:off x="25450800" y="15116175"/>
          <a:ext cx="1028700" cy="1628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adjustment procedure continues through subsequent iterations until a minimum stree value has been achieved or the iteration limit has been reached.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390525</xdr:colOff>
      <xdr:row>29</xdr:row>
      <xdr:rowOff>161925</xdr:rowOff>
    </xdr:from>
    <xdr:to>
      <xdr:col>17</xdr:col>
      <xdr:colOff>295275</xdr:colOff>
      <xdr:row>48</xdr:row>
      <xdr:rowOff>95250</xdr:rowOff>
    </xdr:to>
    <xdr:pic>
      <xdr:nvPicPr>
        <xdr:cNvPr id="143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9175" y="5114925"/>
          <a:ext cx="2419350" cy="31146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752475</xdr:colOff>
      <xdr:row>30</xdr:row>
      <xdr:rowOff>95250</xdr:rowOff>
    </xdr:from>
    <xdr:to>
      <xdr:col>24</xdr:col>
      <xdr:colOff>514350</xdr:colOff>
      <xdr:row>49</xdr:row>
      <xdr:rowOff>47625</xdr:rowOff>
    </xdr:to>
    <xdr:pic>
      <xdr:nvPicPr>
        <xdr:cNvPr id="143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78525" y="5219700"/>
          <a:ext cx="2276475" cy="31337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466725</xdr:colOff>
      <xdr:row>51</xdr:row>
      <xdr:rowOff>28575</xdr:rowOff>
    </xdr:from>
    <xdr:to>
      <xdr:col>31</xdr:col>
      <xdr:colOff>323850</xdr:colOff>
      <xdr:row>71</xdr:row>
      <xdr:rowOff>133350</xdr:rowOff>
    </xdr:to>
    <xdr:pic>
      <xdr:nvPicPr>
        <xdr:cNvPr id="143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0175" y="8667750"/>
          <a:ext cx="2371725" cy="3381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152400</xdr:colOff>
      <xdr:row>77</xdr:row>
      <xdr:rowOff>47625</xdr:rowOff>
    </xdr:from>
    <xdr:to>
      <xdr:col>17</xdr:col>
      <xdr:colOff>361950</xdr:colOff>
      <xdr:row>94</xdr:row>
      <xdr:rowOff>95250</xdr:rowOff>
    </xdr:to>
    <xdr:graphicFrame macro="">
      <xdr:nvGraphicFramePr>
        <xdr:cNvPr id="1434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723900</xdr:colOff>
      <xdr:row>78</xdr:row>
      <xdr:rowOff>133350</xdr:rowOff>
    </xdr:from>
    <xdr:to>
      <xdr:col>17</xdr:col>
      <xdr:colOff>142875</xdr:colOff>
      <xdr:row>90</xdr:row>
      <xdr:rowOff>123825</xdr:rowOff>
    </xdr:to>
    <xdr:sp macro="" textlink="">
      <xdr:nvSpPr>
        <xdr:cNvPr id="14343" name="Line 7"/>
        <xdr:cNvSpPr>
          <a:spLocks noChangeShapeType="1"/>
        </xdr:cNvSpPr>
      </xdr:nvSpPr>
      <xdr:spPr bwMode="auto">
        <a:xfrm flipV="1">
          <a:off x="12782550" y="13201650"/>
          <a:ext cx="1933575" cy="195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238125</xdr:colOff>
      <xdr:row>77</xdr:row>
      <xdr:rowOff>152400</xdr:rowOff>
    </xdr:from>
    <xdr:to>
      <xdr:col>24</xdr:col>
      <xdr:colOff>438150</xdr:colOff>
      <xdr:row>95</xdr:row>
      <xdr:rowOff>38100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819150</xdr:colOff>
      <xdr:row>79</xdr:row>
      <xdr:rowOff>85725</xdr:rowOff>
    </xdr:from>
    <xdr:to>
      <xdr:col>24</xdr:col>
      <xdr:colOff>209550</xdr:colOff>
      <xdr:row>91</xdr:row>
      <xdr:rowOff>66675</xdr:rowOff>
    </xdr:to>
    <xdr:sp macro="" textlink="">
      <xdr:nvSpPr>
        <xdr:cNvPr id="14345" name="Line 9"/>
        <xdr:cNvSpPr>
          <a:spLocks noChangeShapeType="1"/>
        </xdr:cNvSpPr>
      </xdr:nvSpPr>
      <xdr:spPr bwMode="auto">
        <a:xfrm flipV="1">
          <a:off x="18745200" y="13315950"/>
          <a:ext cx="1905000" cy="1943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323850</xdr:colOff>
      <xdr:row>101</xdr:row>
      <xdr:rowOff>28575</xdr:rowOff>
    </xdr:from>
    <xdr:to>
      <xdr:col>31</xdr:col>
      <xdr:colOff>523875</xdr:colOff>
      <xdr:row>118</xdr:row>
      <xdr:rowOff>95250</xdr:rowOff>
    </xdr:to>
    <xdr:graphicFrame macro="">
      <xdr:nvGraphicFramePr>
        <xdr:cNvPr id="1434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57150</xdr:colOff>
      <xdr:row>102</xdr:row>
      <xdr:rowOff>114300</xdr:rowOff>
    </xdr:from>
    <xdr:to>
      <xdr:col>31</xdr:col>
      <xdr:colOff>314325</xdr:colOff>
      <xdr:row>114</xdr:row>
      <xdr:rowOff>123825</xdr:rowOff>
    </xdr:to>
    <xdr:sp macro="" textlink="">
      <xdr:nvSpPr>
        <xdr:cNvPr id="14348" name="Line 12"/>
        <xdr:cNvSpPr>
          <a:spLocks noChangeShapeType="1"/>
        </xdr:cNvSpPr>
      </xdr:nvSpPr>
      <xdr:spPr bwMode="auto">
        <a:xfrm flipV="1">
          <a:off x="24688800" y="17087850"/>
          <a:ext cx="1933575" cy="195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</xdr:colOff>
      <xdr:row>6</xdr:row>
      <xdr:rowOff>0</xdr:rowOff>
    </xdr:from>
    <xdr:to>
      <xdr:col>44</xdr:col>
      <xdr:colOff>0</xdr:colOff>
      <xdr:row>32</xdr:row>
      <xdr:rowOff>66675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9525</xdr:colOff>
      <xdr:row>40</xdr:row>
      <xdr:rowOff>9525</xdr:rowOff>
    </xdr:from>
    <xdr:to>
      <xdr:col>44</xdr:col>
      <xdr:colOff>0</xdr:colOff>
      <xdr:row>66</xdr:row>
      <xdr:rowOff>85725</xdr:rowOff>
    </xdr:to>
    <xdr:graphicFrame macro="">
      <xdr:nvGraphicFramePr>
        <xdr:cNvPr id="133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40</xdr:col>
      <xdr:colOff>352425</xdr:colOff>
      <xdr:row>49</xdr:row>
      <xdr:rowOff>28575</xdr:rowOff>
    </xdr:from>
    <xdr:to>
      <xdr:col>42</xdr:col>
      <xdr:colOff>323850</xdr:colOff>
      <xdr:row>55</xdr:row>
      <xdr:rowOff>0</xdr:rowOff>
    </xdr:to>
    <xdr:sp macro="" textlink="">
      <xdr:nvSpPr>
        <xdr:cNvPr id="13315" name="Line 3"/>
        <xdr:cNvSpPr>
          <a:spLocks noChangeShapeType="1"/>
        </xdr:cNvSpPr>
      </xdr:nvSpPr>
      <xdr:spPr bwMode="auto">
        <a:xfrm flipV="1">
          <a:off x="23774400" y="7962900"/>
          <a:ext cx="160972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762000</xdr:colOff>
      <xdr:row>45</xdr:row>
      <xdr:rowOff>104775</xdr:rowOff>
    </xdr:from>
    <xdr:to>
      <xdr:col>41</xdr:col>
      <xdr:colOff>704850</xdr:colOff>
      <xdr:row>58</xdr:row>
      <xdr:rowOff>38100</xdr:rowOff>
    </xdr:to>
    <xdr:sp macro="" textlink="">
      <xdr:nvSpPr>
        <xdr:cNvPr id="13316" name="Line 4"/>
        <xdr:cNvSpPr>
          <a:spLocks noChangeShapeType="1"/>
        </xdr:cNvSpPr>
      </xdr:nvSpPr>
      <xdr:spPr bwMode="auto">
        <a:xfrm>
          <a:off x="24183975" y="7391400"/>
          <a:ext cx="762000" cy="2038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342900</xdr:colOff>
      <xdr:row>44</xdr:row>
      <xdr:rowOff>133350</xdr:rowOff>
    </xdr:from>
    <xdr:to>
      <xdr:col>40</xdr:col>
      <xdr:colOff>723900</xdr:colOff>
      <xdr:row>46</xdr:row>
      <xdr:rowOff>0</xdr:rowOff>
    </xdr:to>
    <xdr:sp macro="" textlink="">
      <xdr:nvSpPr>
        <xdr:cNvPr id="13318" name="Text Box 6"/>
        <xdr:cNvSpPr txBox="1">
          <a:spLocks noChangeArrowheads="1"/>
        </xdr:cNvSpPr>
      </xdr:nvSpPr>
      <xdr:spPr bwMode="auto">
        <a:xfrm>
          <a:off x="23764875" y="7258050"/>
          <a:ext cx="38100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PC-2</a:t>
          </a:r>
        </a:p>
      </xdr:txBody>
    </xdr:sp>
    <xdr:clientData/>
  </xdr:twoCellAnchor>
  <xdr:twoCellAnchor>
    <xdr:from>
      <xdr:col>52</xdr:col>
      <xdr:colOff>9525</xdr:colOff>
      <xdr:row>6</xdr:row>
      <xdr:rowOff>9525</xdr:rowOff>
    </xdr:from>
    <xdr:to>
      <xdr:col>57</xdr:col>
      <xdr:colOff>19050</xdr:colOff>
      <xdr:row>32</xdr:row>
      <xdr:rowOff>85725</xdr:rowOff>
    </xdr:to>
    <xdr:graphicFrame macro="">
      <xdr:nvGraphicFramePr>
        <xdr:cNvPr id="1331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52</xdr:col>
      <xdr:colOff>9525</xdr:colOff>
      <xdr:row>37</xdr:row>
      <xdr:rowOff>0</xdr:rowOff>
    </xdr:from>
    <xdr:to>
      <xdr:col>57</xdr:col>
      <xdr:colOff>19050</xdr:colOff>
      <xdr:row>63</xdr:row>
      <xdr:rowOff>66675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276225</xdr:colOff>
      <xdr:row>47</xdr:row>
      <xdr:rowOff>104775</xdr:rowOff>
    </xdr:from>
    <xdr:to>
      <xdr:col>42</xdr:col>
      <xdr:colOff>657225</xdr:colOff>
      <xdr:row>48</xdr:row>
      <xdr:rowOff>123825</xdr:rowOff>
    </xdr:to>
    <xdr:sp macro="" textlink="">
      <xdr:nvSpPr>
        <xdr:cNvPr id="13321" name="Text Box 9"/>
        <xdr:cNvSpPr txBox="1">
          <a:spLocks noChangeArrowheads="1"/>
        </xdr:cNvSpPr>
      </xdr:nvSpPr>
      <xdr:spPr bwMode="auto">
        <a:xfrm>
          <a:off x="25336500" y="7715250"/>
          <a:ext cx="3810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PC-1</a:t>
          </a:r>
        </a:p>
      </xdr:txBody>
    </xdr:sp>
    <xdr:clientData/>
  </xdr:twoCellAnchor>
  <xdr:twoCellAnchor>
    <xdr:from>
      <xdr:col>62</xdr:col>
      <xdr:colOff>0</xdr:colOff>
      <xdr:row>6</xdr:row>
      <xdr:rowOff>0</xdr:rowOff>
    </xdr:from>
    <xdr:to>
      <xdr:col>67</xdr:col>
      <xdr:colOff>9525</xdr:colOff>
      <xdr:row>32</xdr:row>
      <xdr:rowOff>66675</xdr:rowOff>
    </xdr:to>
    <xdr:graphicFrame macro="">
      <xdr:nvGraphicFramePr>
        <xdr:cNvPr id="1332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809625</xdr:colOff>
      <xdr:row>10</xdr:row>
      <xdr:rowOff>38100</xdr:rowOff>
    </xdr:from>
    <xdr:to>
      <xdr:col>64</xdr:col>
      <xdr:colOff>752475</xdr:colOff>
      <xdr:row>25</xdr:row>
      <xdr:rowOff>57150</xdr:rowOff>
    </xdr:to>
    <xdr:sp macro="" textlink="">
      <xdr:nvSpPr>
        <xdr:cNvPr id="13323" name="Line 11"/>
        <xdr:cNvSpPr>
          <a:spLocks noChangeShapeType="1"/>
        </xdr:cNvSpPr>
      </xdr:nvSpPr>
      <xdr:spPr bwMode="auto">
        <a:xfrm>
          <a:off x="42900600" y="1657350"/>
          <a:ext cx="762000" cy="2447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200025</xdr:colOff>
      <xdr:row>14</xdr:row>
      <xdr:rowOff>152400</xdr:rowOff>
    </xdr:from>
    <xdr:to>
      <xdr:col>65</xdr:col>
      <xdr:colOff>542925</xdr:colOff>
      <xdr:row>20</xdr:row>
      <xdr:rowOff>104775</xdr:rowOff>
    </xdr:to>
    <xdr:sp macro="" textlink="">
      <xdr:nvSpPr>
        <xdr:cNvPr id="13324" name="Line 12"/>
        <xdr:cNvSpPr>
          <a:spLocks noChangeShapeType="1"/>
        </xdr:cNvSpPr>
      </xdr:nvSpPr>
      <xdr:spPr bwMode="auto">
        <a:xfrm flipV="1">
          <a:off x="42291000" y="2419350"/>
          <a:ext cx="198120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285750</xdr:colOff>
      <xdr:row>13</xdr:row>
      <xdr:rowOff>38100</xdr:rowOff>
    </xdr:from>
    <xdr:to>
      <xdr:col>65</xdr:col>
      <xdr:colOff>771525</xdr:colOff>
      <xdr:row>14</xdr:row>
      <xdr:rowOff>57150</xdr:rowOff>
    </xdr:to>
    <xdr:sp macro="" textlink="">
      <xdr:nvSpPr>
        <xdr:cNvPr id="13325" name="Text Box 13"/>
        <xdr:cNvSpPr txBox="1">
          <a:spLocks noChangeArrowheads="1"/>
        </xdr:cNvSpPr>
      </xdr:nvSpPr>
      <xdr:spPr bwMode="auto">
        <a:xfrm>
          <a:off x="44015025" y="2143125"/>
          <a:ext cx="4857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PC-2</a:t>
          </a:r>
        </a:p>
      </xdr:txBody>
    </xdr:sp>
    <xdr:clientData/>
  </xdr:twoCellAnchor>
  <xdr:twoCellAnchor>
    <xdr:from>
      <xdr:col>64</xdr:col>
      <xdr:colOff>809625</xdr:colOff>
      <xdr:row>25</xdr:row>
      <xdr:rowOff>95250</xdr:rowOff>
    </xdr:from>
    <xdr:to>
      <xdr:col>65</xdr:col>
      <xdr:colOff>476250</xdr:colOff>
      <xdr:row>26</xdr:row>
      <xdr:rowOff>104775</xdr:rowOff>
    </xdr:to>
    <xdr:sp macro="" textlink="">
      <xdr:nvSpPr>
        <xdr:cNvPr id="13326" name="Text Box 14"/>
        <xdr:cNvSpPr txBox="1">
          <a:spLocks noChangeArrowheads="1"/>
        </xdr:cNvSpPr>
      </xdr:nvSpPr>
      <xdr:spPr bwMode="auto">
        <a:xfrm>
          <a:off x="43719750" y="4143375"/>
          <a:ext cx="48577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PC-1</a:t>
          </a:r>
        </a:p>
      </xdr:txBody>
    </xdr:sp>
    <xdr:clientData/>
  </xdr:twoCellAnchor>
  <xdr:twoCellAnchor>
    <xdr:from>
      <xdr:col>68</xdr:col>
      <xdr:colOff>0</xdr:colOff>
      <xdr:row>6</xdr:row>
      <xdr:rowOff>0</xdr:rowOff>
    </xdr:from>
    <xdr:to>
      <xdr:col>73</xdr:col>
      <xdr:colOff>9525</xdr:colOff>
      <xdr:row>32</xdr:row>
      <xdr:rowOff>66675</xdr:rowOff>
    </xdr:to>
    <xdr:graphicFrame macro="">
      <xdr:nvGraphicFramePr>
        <xdr:cNvPr id="2" name="Chart -10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9525</xdr:colOff>
      <xdr:row>95</xdr:row>
      <xdr:rowOff>9525</xdr:rowOff>
    </xdr:from>
    <xdr:to>
      <xdr:col>49</xdr:col>
      <xdr:colOff>571500</xdr:colOff>
      <xdr:row>119</xdr:row>
      <xdr:rowOff>114300</xdr:rowOff>
    </xdr:to>
    <xdr:graphicFrame macro="">
      <xdr:nvGraphicFramePr>
        <xdr:cNvPr id="3" name="Chart -10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64</xdr:row>
      <xdr:rowOff>0</xdr:rowOff>
    </xdr:from>
    <xdr:to>
      <xdr:col>15</xdr:col>
      <xdr:colOff>95250</xdr:colOff>
      <xdr:row>77</xdr:row>
      <xdr:rowOff>123825</xdr:rowOff>
    </xdr:to>
    <xdr:graphicFrame macro="">
      <xdr:nvGraphicFramePr>
        <xdr:cNvPr id="112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304800</xdr:colOff>
      <xdr:row>80</xdr:row>
      <xdr:rowOff>0</xdr:rowOff>
    </xdr:from>
    <xdr:to>
      <xdr:col>15</xdr:col>
      <xdr:colOff>95250</xdr:colOff>
      <xdr:row>93</xdr:row>
      <xdr:rowOff>114300</xdr:rowOff>
    </xdr:to>
    <xdr:graphicFrame macro="">
      <xdr:nvGraphicFramePr>
        <xdr:cNvPr id="1126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390525</xdr:colOff>
      <xdr:row>49</xdr:row>
      <xdr:rowOff>152400</xdr:rowOff>
    </xdr:from>
    <xdr:to>
      <xdr:col>28</xdr:col>
      <xdr:colOff>676275</xdr:colOff>
      <xdr:row>73</xdr:row>
      <xdr:rowOff>95250</xdr:rowOff>
    </xdr:to>
    <xdr:graphicFrame macro="">
      <xdr:nvGraphicFramePr>
        <xdr:cNvPr id="1127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200025</xdr:colOff>
      <xdr:row>86</xdr:row>
      <xdr:rowOff>123825</xdr:rowOff>
    </xdr:from>
    <xdr:to>
      <xdr:col>55</xdr:col>
      <xdr:colOff>47625</xdr:colOff>
      <xdr:row>113</xdr:row>
      <xdr:rowOff>95250</xdr:rowOff>
    </xdr:to>
    <xdr:graphicFrame macro="">
      <xdr:nvGraphicFramePr>
        <xdr:cNvPr id="9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209550</xdr:colOff>
      <xdr:row>115</xdr:row>
      <xdr:rowOff>114300</xdr:rowOff>
    </xdr:from>
    <xdr:to>
      <xdr:col>55</xdr:col>
      <xdr:colOff>57150</xdr:colOff>
      <xdr:row>142</xdr:row>
      <xdr:rowOff>123825</xdr:rowOff>
    </xdr:to>
    <xdr:graphicFrame macro="">
      <xdr:nvGraphicFramePr>
        <xdr:cNvPr id="92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9525</xdr:colOff>
      <xdr:row>4</xdr:row>
      <xdr:rowOff>0</xdr:rowOff>
    </xdr:from>
    <xdr:to>
      <xdr:col>45</xdr:col>
      <xdr:colOff>790575</xdr:colOff>
      <xdr:row>23</xdr:row>
      <xdr:rowOff>95250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83</xdr:row>
      <xdr:rowOff>9525</xdr:rowOff>
    </xdr:from>
    <xdr:to>
      <xdr:col>9</xdr:col>
      <xdr:colOff>466725</xdr:colOff>
      <xdr:row>107</xdr:row>
      <xdr:rowOff>123825</xdr:rowOff>
    </xdr:to>
    <xdr:graphicFrame macro="">
      <xdr:nvGraphicFramePr>
        <xdr:cNvPr id="61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171450</xdr:colOff>
      <xdr:row>83</xdr:row>
      <xdr:rowOff>0</xdr:rowOff>
    </xdr:from>
    <xdr:to>
      <xdr:col>14</xdr:col>
      <xdr:colOff>581025</xdr:colOff>
      <xdr:row>107</xdr:row>
      <xdr:rowOff>114300</xdr:rowOff>
    </xdr:to>
    <xdr:graphicFrame macro="">
      <xdr:nvGraphicFramePr>
        <xdr:cNvPr id="61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31</xdr:row>
      <xdr:rowOff>152400</xdr:rowOff>
    </xdr:from>
    <xdr:to>
      <xdr:col>9</xdr:col>
      <xdr:colOff>409575</xdr:colOff>
      <xdr:row>51</xdr:row>
      <xdr:rowOff>0</xdr:rowOff>
    </xdr:to>
    <xdr:graphicFrame macro="">
      <xdr:nvGraphicFramePr>
        <xdr:cNvPr id="615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238125</xdr:colOff>
      <xdr:row>31</xdr:row>
      <xdr:rowOff>152400</xdr:rowOff>
    </xdr:from>
    <xdr:to>
      <xdr:col>14</xdr:col>
      <xdr:colOff>600075</xdr:colOff>
      <xdr:row>51</xdr:row>
      <xdr:rowOff>0</xdr:rowOff>
    </xdr:to>
    <xdr:graphicFrame macro="">
      <xdr:nvGraphicFramePr>
        <xdr:cNvPr id="615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123825</xdr:colOff>
      <xdr:row>40</xdr:row>
      <xdr:rowOff>9525</xdr:rowOff>
    </xdr:from>
    <xdr:to>
      <xdr:col>9</xdr:col>
      <xdr:colOff>171450</xdr:colOff>
      <xdr:row>40</xdr:row>
      <xdr:rowOff>9525</xdr:rowOff>
    </xdr:to>
    <xdr:sp macro="" textlink="">
      <xdr:nvSpPr>
        <xdr:cNvPr id="6159" name="Line 15"/>
        <xdr:cNvSpPr>
          <a:spLocks noChangeShapeType="1"/>
        </xdr:cNvSpPr>
      </xdr:nvSpPr>
      <xdr:spPr bwMode="auto">
        <a:xfrm>
          <a:off x="6086475" y="6610350"/>
          <a:ext cx="1914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133350</xdr:colOff>
      <xdr:row>40</xdr:row>
      <xdr:rowOff>28575</xdr:rowOff>
    </xdr:from>
    <xdr:to>
      <xdr:col>14</xdr:col>
      <xdr:colOff>371475</xdr:colOff>
      <xdr:row>40</xdr:row>
      <xdr:rowOff>28575</xdr:rowOff>
    </xdr:to>
    <xdr:sp macro="" textlink="">
      <xdr:nvSpPr>
        <xdr:cNvPr id="6163" name="Line 19"/>
        <xdr:cNvSpPr>
          <a:spLocks noChangeShapeType="1"/>
        </xdr:cNvSpPr>
      </xdr:nvSpPr>
      <xdr:spPr bwMode="auto">
        <a:xfrm>
          <a:off x="10572750" y="6629400"/>
          <a:ext cx="1914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33</xdr:row>
      <xdr:rowOff>95250</xdr:rowOff>
    </xdr:from>
    <xdr:to>
      <xdr:col>13</xdr:col>
      <xdr:colOff>257175</xdr:colOff>
      <xdr:row>46</xdr:row>
      <xdr:rowOff>152400</xdr:rowOff>
    </xdr:to>
    <xdr:sp macro="" textlink="">
      <xdr:nvSpPr>
        <xdr:cNvPr id="6167" name="Line 23"/>
        <xdr:cNvSpPr>
          <a:spLocks noChangeShapeType="1"/>
        </xdr:cNvSpPr>
      </xdr:nvSpPr>
      <xdr:spPr bwMode="auto">
        <a:xfrm flipV="1">
          <a:off x="11534775" y="5543550"/>
          <a:ext cx="0" cy="2181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33</xdr:row>
      <xdr:rowOff>76200</xdr:rowOff>
    </xdr:from>
    <xdr:to>
      <xdr:col>8</xdr:col>
      <xdr:colOff>152400</xdr:colOff>
      <xdr:row>46</xdr:row>
      <xdr:rowOff>133350</xdr:rowOff>
    </xdr:to>
    <xdr:sp macro="" textlink="">
      <xdr:nvSpPr>
        <xdr:cNvPr id="6171" name="Line 27"/>
        <xdr:cNvSpPr>
          <a:spLocks noChangeShapeType="1"/>
        </xdr:cNvSpPr>
      </xdr:nvSpPr>
      <xdr:spPr bwMode="auto">
        <a:xfrm flipV="1">
          <a:off x="7048500" y="5524500"/>
          <a:ext cx="0" cy="2181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38</xdr:row>
      <xdr:rowOff>76200</xdr:rowOff>
    </xdr:from>
    <xdr:to>
      <xdr:col>9</xdr:col>
      <xdr:colOff>95250</xdr:colOff>
      <xdr:row>40</xdr:row>
      <xdr:rowOff>9525</xdr:rowOff>
    </xdr:to>
    <xdr:sp macro="" textlink="">
      <xdr:nvSpPr>
        <xdr:cNvPr id="6177" name="Line 33"/>
        <xdr:cNvSpPr>
          <a:spLocks noChangeShapeType="1"/>
        </xdr:cNvSpPr>
      </xdr:nvSpPr>
      <xdr:spPr bwMode="auto">
        <a:xfrm flipV="1">
          <a:off x="7048500" y="6353175"/>
          <a:ext cx="8763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39</xdr:row>
      <xdr:rowOff>114300</xdr:rowOff>
    </xdr:from>
    <xdr:to>
      <xdr:col>9</xdr:col>
      <xdr:colOff>95250</xdr:colOff>
      <xdr:row>40</xdr:row>
      <xdr:rowOff>9525</xdr:rowOff>
    </xdr:to>
    <xdr:sp macro="" textlink="">
      <xdr:nvSpPr>
        <xdr:cNvPr id="6178" name="Line 34"/>
        <xdr:cNvSpPr>
          <a:spLocks noChangeShapeType="1"/>
        </xdr:cNvSpPr>
      </xdr:nvSpPr>
      <xdr:spPr bwMode="auto">
        <a:xfrm flipV="1">
          <a:off x="7048500" y="6553200"/>
          <a:ext cx="87630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40</xdr:row>
      <xdr:rowOff>9525</xdr:rowOff>
    </xdr:from>
    <xdr:to>
      <xdr:col>9</xdr:col>
      <xdr:colOff>76200</xdr:colOff>
      <xdr:row>41</xdr:row>
      <xdr:rowOff>123825</xdr:rowOff>
    </xdr:to>
    <xdr:sp macro="" textlink="">
      <xdr:nvSpPr>
        <xdr:cNvPr id="6179" name="Line 35"/>
        <xdr:cNvSpPr>
          <a:spLocks noChangeShapeType="1"/>
        </xdr:cNvSpPr>
      </xdr:nvSpPr>
      <xdr:spPr bwMode="auto">
        <a:xfrm>
          <a:off x="7048500" y="6610350"/>
          <a:ext cx="85725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40</xdr:row>
      <xdr:rowOff>28575</xdr:rowOff>
    </xdr:from>
    <xdr:to>
      <xdr:col>14</xdr:col>
      <xdr:colOff>200025</xdr:colOff>
      <xdr:row>43</xdr:row>
      <xdr:rowOff>28575</xdr:rowOff>
    </xdr:to>
    <xdr:sp macro="" textlink="">
      <xdr:nvSpPr>
        <xdr:cNvPr id="6183" name="Line 39"/>
        <xdr:cNvSpPr>
          <a:spLocks noChangeShapeType="1"/>
        </xdr:cNvSpPr>
      </xdr:nvSpPr>
      <xdr:spPr bwMode="auto">
        <a:xfrm>
          <a:off x="11534775" y="6629400"/>
          <a:ext cx="78105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40</xdr:row>
      <xdr:rowOff>28575</xdr:rowOff>
    </xdr:from>
    <xdr:to>
      <xdr:col>14</xdr:col>
      <xdr:colOff>76200</xdr:colOff>
      <xdr:row>44</xdr:row>
      <xdr:rowOff>28575</xdr:rowOff>
    </xdr:to>
    <xdr:sp macro="" textlink="">
      <xdr:nvSpPr>
        <xdr:cNvPr id="6184" name="Line 40"/>
        <xdr:cNvSpPr>
          <a:spLocks noChangeShapeType="1"/>
        </xdr:cNvSpPr>
      </xdr:nvSpPr>
      <xdr:spPr bwMode="auto">
        <a:xfrm>
          <a:off x="11534775" y="6629400"/>
          <a:ext cx="657225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40</xdr:row>
      <xdr:rowOff>28575</xdr:rowOff>
    </xdr:from>
    <xdr:to>
      <xdr:col>13</xdr:col>
      <xdr:colOff>695325</xdr:colOff>
      <xdr:row>45</xdr:row>
      <xdr:rowOff>95250</xdr:rowOff>
    </xdr:to>
    <xdr:sp macro="" textlink="">
      <xdr:nvSpPr>
        <xdr:cNvPr id="6185" name="Line 41"/>
        <xdr:cNvSpPr>
          <a:spLocks noChangeShapeType="1"/>
        </xdr:cNvSpPr>
      </xdr:nvSpPr>
      <xdr:spPr bwMode="auto">
        <a:xfrm>
          <a:off x="11534775" y="6629400"/>
          <a:ext cx="438150" cy="876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0</xdr:rowOff>
    </xdr:from>
    <xdr:to>
      <xdr:col>22</xdr:col>
      <xdr:colOff>9525</xdr:colOff>
      <xdr:row>25</xdr:row>
      <xdr:rowOff>0</xdr:rowOff>
    </xdr:to>
    <xdr:graphicFrame macro="">
      <xdr:nvGraphicFramePr>
        <xdr:cNvPr id="51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26</xdr:row>
      <xdr:rowOff>0</xdr:rowOff>
    </xdr:from>
    <xdr:to>
      <xdr:col>22</xdr:col>
      <xdr:colOff>9525</xdr:colOff>
      <xdr:row>46</xdr:row>
      <xdr:rowOff>0</xdr:rowOff>
    </xdr:to>
    <xdr:graphicFrame macro="">
      <xdr:nvGraphicFramePr>
        <xdr:cNvPr id="51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409575</xdr:colOff>
      <xdr:row>33</xdr:row>
      <xdr:rowOff>0</xdr:rowOff>
    </xdr:from>
    <xdr:to>
      <xdr:col>5</xdr:col>
      <xdr:colOff>0</xdr:colOff>
      <xdr:row>54</xdr:row>
      <xdr:rowOff>0</xdr:rowOff>
    </xdr:to>
    <xdr:graphicFrame macro="">
      <xdr:nvGraphicFramePr>
        <xdr:cNvPr id="512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409575</xdr:colOff>
      <xdr:row>55</xdr:row>
      <xdr:rowOff>0</xdr:rowOff>
    </xdr:from>
    <xdr:to>
      <xdr:col>5</xdr:col>
      <xdr:colOff>0</xdr:colOff>
      <xdr:row>76</xdr:row>
      <xdr:rowOff>0</xdr:rowOff>
    </xdr:to>
    <xdr:graphicFrame macro="">
      <xdr:nvGraphicFramePr>
        <xdr:cNvPr id="51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54</xdr:row>
      <xdr:rowOff>9525</xdr:rowOff>
    </xdr:from>
    <xdr:to>
      <xdr:col>22</xdr:col>
      <xdr:colOff>9525</xdr:colOff>
      <xdr:row>74</xdr:row>
      <xdr:rowOff>9525</xdr:rowOff>
    </xdr:to>
    <xdr:graphicFrame macro="">
      <xdr:nvGraphicFramePr>
        <xdr:cNvPr id="51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76</xdr:row>
      <xdr:rowOff>0</xdr:rowOff>
    </xdr:from>
    <xdr:to>
      <xdr:col>22</xdr:col>
      <xdr:colOff>9525</xdr:colOff>
      <xdr:row>96</xdr:row>
      <xdr:rowOff>0</xdr:rowOff>
    </xdr:to>
    <xdr:graphicFrame macro="">
      <xdr:nvGraphicFramePr>
        <xdr:cNvPr id="51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77</xdr:row>
      <xdr:rowOff>0</xdr:rowOff>
    </xdr:from>
    <xdr:to>
      <xdr:col>10</xdr:col>
      <xdr:colOff>9525</xdr:colOff>
      <xdr:row>97</xdr:row>
      <xdr:rowOff>0</xdr:rowOff>
    </xdr:to>
    <xdr:graphicFrame macro="">
      <xdr:nvGraphicFramePr>
        <xdr:cNvPr id="51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6</xdr:col>
      <xdr:colOff>0</xdr:colOff>
      <xdr:row>62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40</xdr:row>
      <xdr:rowOff>0</xdr:rowOff>
    </xdr:from>
    <xdr:to>
      <xdr:col>12</xdr:col>
      <xdr:colOff>361950</xdr:colOff>
      <xdr:row>62</xdr:row>
      <xdr:rowOff>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10</xdr:col>
      <xdr:colOff>666750</xdr:colOff>
      <xdr:row>27</xdr:row>
      <xdr:rowOff>28575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809625</xdr:colOff>
      <xdr:row>30</xdr:row>
      <xdr:rowOff>0</xdr:rowOff>
    </xdr:from>
    <xdr:to>
      <xdr:col>10</xdr:col>
      <xdr:colOff>666750</xdr:colOff>
      <xdr:row>53</xdr:row>
      <xdr:rowOff>38100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55</xdr:row>
      <xdr:rowOff>0</xdr:rowOff>
    </xdr:from>
    <xdr:to>
      <xdr:col>10</xdr:col>
      <xdr:colOff>685800</xdr:colOff>
      <xdr:row>78</xdr:row>
      <xdr:rowOff>38100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L85"/>
  <sheetViews>
    <sheetView tabSelected="1" workbookViewId="0">
      <selection activeCell="A3" sqref="A3"/>
    </sheetView>
  </sheetViews>
  <sheetFormatPr defaultColWidth="10.75" defaultRowHeight="12.75"/>
  <cols>
    <col min="1" max="1" width="9.25" style="75" customWidth="1"/>
    <col min="2" max="2" width="10.875" style="75" customWidth="1"/>
    <col min="3" max="15" width="5.625" style="75" customWidth="1"/>
    <col min="16" max="16" width="1.75" style="75" customWidth="1"/>
    <col min="17" max="20" width="5.625" style="75" customWidth="1"/>
    <col min="21" max="21" width="9.125" style="75" customWidth="1"/>
    <col min="22" max="22" width="8.75" style="75" customWidth="1"/>
    <col min="23" max="25" width="6.625" style="75" customWidth="1"/>
    <col min="26" max="26" width="9" style="75" customWidth="1"/>
    <col min="27" max="27" width="6.625" style="75" customWidth="1"/>
    <col min="28" max="29" width="5.625" style="75" customWidth="1"/>
    <col min="30" max="30" width="10.875" style="75" customWidth="1"/>
    <col min="31" max="48" width="5.625" style="75" customWidth="1"/>
    <col min="49" max="49" width="9.125" style="75" customWidth="1"/>
    <col min="50" max="50" width="8.75" style="75" customWidth="1"/>
    <col min="51" max="53" width="6.625" style="75" customWidth="1"/>
    <col min="54" max="54" width="9" style="75" customWidth="1"/>
    <col min="55" max="55" width="6.625" style="75" customWidth="1"/>
    <col min="56" max="57" width="10.75" style="75"/>
    <col min="58" max="58" width="9.125" customWidth="1"/>
    <col min="59" max="59" width="8.75" customWidth="1"/>
    <col min="60" max="62" width="6.625" customWidth="1"/>
    <col min="63" max="63" width="9" customWidth="1"/>
    <col min="64" max="64" width="6.625" customWidth="1"/>
    <col min="65" max="16384" width="10.75" style="75"/>
  </cols>
  <sheetData>
    <row r="2" spans="2:64" ht="13.5" thickBot="1">
      <c r="B2" s="77" t="s">
        <v>423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AD2" s="77" t="s">
        <v>430</v>
      </c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</row>
    <row r="3" spans="2:64" s="162" customFormat="1" ht="107.1" customHeight="1" thickTop="1" thickBot="1">
      <c r="B3" s="91"/>
      <c r="C3" s="165" t="s">
        <v>201</v>
      </c>
      <c r="D3" s="165" t="s">
        <v>69</v>
      </c>
      <c r="E3" s="165" t="s">
        <v>70</v>
      </c>
      <c r="F3" s="165" t="s">
        <v>71</v>
      </c>
      <c r="G3" s="165" t="s">
        <v>72</v>
      </c>
      <c r="H3" s="165" t="s">
        <v>73</v>
      </c>
      <c r="I3" s="165" t="s">
        <v>74</v>
      </c>
      <c r="J3" s="165" t="s">
        <v>75</v>
      </c>
      <c r="K3" s="165" t="s">
        <v>76</v>
      </c>
      <c r="L3" s="165" t="s">
        <v>77</v>
      </c>
      <c r="M3" s="165" t="s">
        <v>78</v>
      </c>
      <c r="N3" s="165" t="s">
        <v>79</v>
      </c>
      <c r="O3" s="165" t="s">
        <v>80</v>
      </c>
      <c r="Q3" s="180" t="s">
        <v>35</v>
      </c>
      <c r="U3" s="77" t="s">
        <v>36</v>
      </c>
      <c r="V3" s="10"/>
      <c r="W3" s="10"/>
      <c r="X3" s="10"/>
      <c r="Y3" s="10"/>
      <c r="Z3" s="10"/>
      <c r="AA3" s="10"/>
      <c r="AD3" s="91"/>
      <c r="AE3" s="165" t="s">
        <v>201</v>
      </c>
      <c r="AF3" s="165" t="s">
        <v>69</v>
      </c>
      <c r="AG3" s="165" t="s">
        <v>70</v>
      </c>
      <c r="AH3" s="165" t="s">
        <v>71</v>
      </c>
      <c r="AI3" s="165" t="s">
        <v>72</v>
      </c>
      <c r="AJ3" s="165" t="s">
        <v>73</v>
      </c>
      <c r="AK3" s="165" t="s">
        <v>74</v>
      </c>
      <c r="AL3" s="165" t="s">
        <v>75</v>
      </c>
      <c r="AM3" s="165" t="s">
        <v>76</v>
      </c>
      <c r="AN3" s="165" t="s">
        <v>77</v>
      </c>
      <c r="AO3" s="165" t="s">
        <v>78</v>
      </c>
      <c r="AP3" s="165" t="s">
        <v>79</v>
      </c>
      <c r="AQ3" s="165" t="s">
        <v>80</v>
      </c>
      <c r="AS3" s="180" t="s">
        <v>35</v>
      </c>
      <c r="AW3" s="77" t="s">
        <v>0</v>
      </c>
      <c r="AX3" s="10"/>
      <c r="AY3" s="10"/>
      <c r="AZ3" s="10"/>
      <c r="BA3" s="10"/>
      <c r="BB3" s="10"/>
      <c r="BC3" s="10"/>
      <c r="BF3"/>
      <c r="BG3"/>
      <c r="BH3"/>
      <c r="BI3"/>
      <c r="BJ3"/>
      <c r="BK3"/>
      <c r="BL3"/>
    </row>
    <row r="4" spans="2:64" ht="13.5" thickTop="1">
      <c r="B4" s="75" t="s">
        <v>188</v>
      </c>
      <c r="C4" s="163">
        <v>0</v>
      </c>
      <c r="D4" s="163">
        <f>C5</f>
        <v>16.100000000000001</v>
      </c>
      <c r="E4" s="163">
        <f>C6</f>
        <v>17.8</v>
      </c>
      <c r="F4" s="163">
        <f>C7</f>
        <v>14.3</v>
      </c>
      <c r="G4" s="163">
        <f>C8</f>
        <v>10.6</v>
      </c>
      <c r="H4" s="163">
        <f>C9</f>
        <v>14</v>
      </c>
      <c r="I4" s="163">
        <f>C10</f>
        <v>7.7</v>
      </c>
      <c r="J4" s="163">
        <f>C11</f>
        <v>4.8</v>
      </c>
      <c r="K4" s="163">
        <f>C12</f>
        <v>4.0999999999999996</v>
      </c>
      <c r="L4" s="163">
        <f>C13</f>
        <v>17</v>
      </c>
      <c r="M4" s="163">
        <f>C14</f>
        <v>6.7</v>
      </c>
      <c r="N4" s="163">
        <f>C15</f>
        <v>22.9</v>
      </c>
      <c r="O4" s="163">
        <f>C16</f>
        <v>10.3</v>
      </c>
      <c r="Q4" s="87">
        <f>AVERAGE(C4:O4)</f>
        <v>11.253846153846155</v>
      </c>
      <c r="U4" s="91" t="s">
        <v>37</v>
      </c>
      <c r="V4" s="91" t="s">
        <v>38</v>
      </c>
      <c r="W4" s="182" t="s">
        <v>424</v>
      </c>
      <c r="X4" s="183" t="s">
        <v>424</v>
      </c>
      <c r="Y4" s="94" t="s">
        <v>425</v>
      </c>
      <c r="Z4" s="94" t="s">
        <v>427</v>
      </c>
      <c r="AA4" s="94" t="s">
        <v>426</v>
      </c>
      <c r="AD4" s="75" t="s">
        <v>188</v>
      </c>
      <c r="AE4" s="178">
        <v>0</v>
      </c>
      <c r="AF4" s="178">
        <f>AE5</f>
        <v>16.446530000000003</v>
      </c>
      <c r="AG4" s="178">
        <f>AE6</f>
        <v>18.165740000000003</v>
      </c>
      <c r="AH4" s="178">
        <f>AE7</f>
        <v>14.626190000000003</v>
      </c>
      <c r="AI4" s="178">
        <f>AE8</f>
        <v>10.88438</v>
      </c>
      <c r="AJ4" s="178">
        <f>AE9</f>
        <v>14.322800000000001</v>
      </c>
      <c r="AK4" s="178">
        <f>AE10</f>
        <v>7.9516100000000005</v>
      </c>
      <c r="AL4" s="178">
        <f>AE11</f>
        <v>5.01884</v>
      </c>
      <c r="AM4" s="178">
        <f>AE12</f>
        <v>4.3109299999999999</v>
      </c>
      <c r="AN4" s="178">
        <f>AE13</f>
        <v>17.3567</v>
      </c>
      <c r="AO4" s="178">
        <f>AE14</f>
        <v>6.9403100000000011</v>
      </c>
      <c r="AP4" s="178">
        <f>AE15</f>
        <v>23.323370000000001</v>
      </c>
      <c r="AQ4" s="178">
        <f>AE16</f>
        <v>10.580990000000002</v>
      </c>
      <c r="AS4" s="108">
        <f>AVERAGE(AE4:AQ4)</f>
        <v>11.53295307692308</v>
      </c>
      <c r="AW4" s="91" t="s">
        <v>37</v>
      </c>
      <c r="AX4" s="91" t="s">
        <v>38</v>
      </c>
      <c r="AY4" s="182" t="s">
        <v>424</v>
      </c>
      <c r="AZ4" s="183" t="s">
        <v>424</v>
      </c>
      <c r="BA4" s="94" t="s">
        <v>425</v>
      </c>
      <c r="BB4" s="94" t="s">
        <v>427</v>
      </c>
      <c r="BC4" s="94" t="s">
        <v>426</v>
      </c>
    </row>
    <row r="5" spans="2:64">
      <c r="B5" s="75" t="s">
        <v>189</v>
      </c>
      <c r="C5" s="163">
        <v>16.100000000000001</v>
      </c>
      <c r="D5" s="163">
        <v>0</v>
      </c>
      <c r="E5" s="163">
        <f>D6</f>
        <v>5.9</v>
      </c>
      <c r="F5" s="163">
        <f>D7</f>
        <v>13.7</v>
      </c>
      <c r="G5" s="163">
        <f>D8</f>
        <v>9</v>
      </c>
      <c r="H5" s="163">
        <f>D9</f>
        <v>12.4</v>
      </c>
      <c r="I5" s="163">
        <f>D10</f>
        <v>16.2</v>
      </c>
      <c r="J5" s="163">
        <f>D11</f>
        <v>10.4</v>
      </c>
      <c r="K5" s="163">
        <f>D12</f>
        <v>17.600000000000001</v>
      </c>
      <c r="L5" s="163">
        <f>D13</f>
        <v>11.1</v>
      </c>
      <c r="M5" s="163">
        <f>D14</f>
        <v>9.5</v>
      </c>
      <c r="N5" s="163">
        <f>D15</f>
        <v>12.6</v>
      </c>
      <c r="O5" s="163">
        <f>D16</f>
        <v>6</v>
      </c>
      <c r="Q5" s="87">
        <f>AVERAGE(C5:O5)</f>
        <v>10.807692307692308</v>
      </c>
      <c r="AD5" s="75" t="s">
        <v>189</v>
      </c>
      <c r="AE5" s="178">
        <f>Y6</f>
        <v>16.446530000000003</v>
      </c>
      <c r="AF5" s="178">
        <v>0</v>
      </c>
      <c r="AG5" s="178">
        <f>AF6</f>
        <v>6.1312700000000007</v>
      </c>
      <c r="AH5" s="178">
        <f>AF7</f>
        <v>14.019410000000001</v>
      </c>
      <c r="AI5" s="178">
        <f>AF8</f>
        <v>9.2663000000000011</v>
      </c>
      <c r="AJ5" s="178">
        <f>AF9</f>
        <v>12.704720000000002</v>
      </c>
      <c r="AK5" s="178">
        <f>AF10</f>
        <v>16.54766</v>
      </c>
      <c r="AL5" s="178">
        <f>AF11</f>
        <v>10.682120000000001</v>
      </c>
      <c r="AM5" s="178">
        <f>AF12</f>
        <v>17.963480000000004</v>
      </c>
      <c r="AN5" s="178">
        <f>AF13</f>
        <v>11.390030000000001</v>
      </c>
      <c r="AO5" s="178">
        <f>AF14</f>
        <v>9.7719500000000004</v>
      </c>
      <c r="AP5" s="178">
        <f>AF15</f>
        <v>12.906980000000001</v>
      </c>
      <c r="AQ5" s="178">
        <f>AF16</f>
        <v>6.2324000000000002</v>
      </c>
      <c r="AS5" s="108">
        <f t="shared" ref="AS5:AS16" si="0">AVERAGE(AE5:AQ5)</f>
        <v>11.081757692307693</v>
      </c>
    </row>
    <row r="6" spans="2:64">
      <c r="B6" s="75" t="s">
        <v>190</v>
      </c>
      <c r="C6" s="163">
        <v>17.8</v>
      </c>
      <c r="D6" s="163">
        <v>5.9</v>
      </c>
      <c r="E6" s="163">
        <v>0</v>
      </c>
      <c r="F6" s="163">
        <f>E7</f>
        <v>12.2</v>
      </c>
      <c r="G6" s="163">
        <f>E8</f>
        <v>7.1</v>
      </c>
      <c r="H6" s="163">
        <f>E9</f>
        <v>10.199999999999999</v>
      </c>
      <c r="I6" s="163">
        <f>E10</f>
        <v>13.6</v>
      </c>
      <c r="J6" s="163">
        <f>E11</f>
        <v>15.4</v>
      </c>
      <c r="K6" s="163">
        <f>E12</f>
        <v>17.5</v>
      </c>
      <c r="L6" s="163">
        <f>E13</f>
        <v>4.9000000000000004</v>
      </c>
      <c r="M6" s="163">
        <f>E14</f>
        <v>12</v>
      </c>
      <c r="N6" s="163">
        <f>E15</f>
        <v>8.3000000000000007</v>
      </c>
      <c r="O6" s="163">
        <f>E16</f>
        <v>12.1</v>
      </c>
      <c r="Q6" s="87">
        <f t="shared" ref="Q6:Q16" si="1">AVERAGE(C6:O6)</f>
        <v>10.538461538461538</v>
      </c>
      <c r="U6" s="75" t="str">
        <f>$B$4</f>
        <v>Bembridge</v>
      </c>
      <c r="V6" s="75" t="s">
        <v>189</v>
      </c>
      <c r="W6" s="87">
        <f>C5</f>
        <v>16.100000000000001</v>
      </c>
      <c r="X6" s="108">
        <f>SQRT(((C65-$C$64)^2)+((D65-$D$64)^2))</f>
        <v>16.012645999289418</v>
      </c>
      <c r="Y6" s="108">
        <f>(W6*1.0113)+0.1646</f>
        <v>16.446530000000003</v>
      </c>
      <c r="Z6" s="172">
        <f>(X6-Y6)^2</f>
        <v>0.18825532607262241</v>
      </c>
      <c r="AA6" s="172">
        <f>X6^2</f>
        <v>256.40483189855939</v>
      </c>
      <c r="AD6" s="75" t="s">
        <v>190</v>
      </c>
      <c r="AE6" s="178">
        <f t="shared" ref="AE6:AE16" si="2">Y7</f>
        <v>18.165740000000003</v>
      </c>
      <c r="AF6" s="178">
        <f>Y18</f>
        <v>6.1312700000000007</v>
      </c>
      <c r="AG6" s="178">
        <v>0</v>
      </c>
      <c r="AH6" s="178">
        <f>AG7</f>
        <v>12.502460000000001</v>
      </c>
      <c r="AI6" s="178">
        <f>AG8</f>
        <v>7.34483</v>
      </c>
      <c r="AJ6" s="178">
        <f>AG9</f>
        <v>10.47986</v>
      </c>
      <c r="AK6" s="178">
        <f>AG10</f>
        <v>13.918280000000001</v>
      </c>
      <c r="AL6" s="178">
        <f>AG11</f>
        <v>15.738620000000001</v>
      </c>
      <c r="AM6" s="178">
        <f>AG12</f>
        <v>17.862350000000003</v>
      </c>
      <c r="AN6" s="178">
        <f>AG13</f>
        <v>5.1199700000000012</v>
      </c>
      <c r="AO6" s="178">
        <f>AG14</f>
        <v>12.3002</v>
      </c>
      <c r="AP6" s="178">
        <f>AG15</f>
        <v>8.5583900000000011</v>
      </c>
      <c r="AQ6" s="178">
        <f>AG16</f>
        <v>12.401330000000002</v>
      </c>
      <c r="AS6" s="108">
        <f t="shared" si="0"/>
        <v>10.809484615384616</v>
      </c>
      <c r="AW6" s="75" t="str">
        <f>$B$4</f>
        <v>Bembridge</v>
      </c>
      <c r="AX6" s="106" t="str">
        <f>V6</f>
        <v>Blackgang</v>
      </c>
      <c r="AY6" s="87">
        <f>W6</f>
        <v>16.100000000000001</v>
      </c>
      <c r="AZ6" s="108">
        <f>SQRT(((AE64-$AE$63)^2)+((AF64-$AF$63)^2))</f>
        <v>16.284681620045959</v>
      </c>
      <c r="BA6" s="108">
        <f>(AY6*1.0367)+0.1602</f>
        <v>16.85107</v>
      </c>
      <c r="BB6" s="83">
        <f>(AZ6-BA6)^2</f>
        <v>0.32079579694696364</v>
      </c>
      <c r="BC6" s="83">
        <f>AZ6^2</f>
        <v>265.19085546626269</v>
      </c>
    </row>
    <row r="7" spans="2:64">
      <c r="B7" s="75" t="s">
        <v>191</v>
      </c>
      <c r="C7" s="163">
        <v>14.3</v>
      </c>
      <c r="D7" s="163">
        <v>13.7</v>
      </c>
      <c r="E7" s="163">
        <v>12.2</v>
      </c>
      <c r="F7" s="163">
        <v>0</v>
      </c>
      <c r="G7" s="163">
        <f>F8</f>
        <v>5</v>
      </c>
      <c r="H7" s="163">
        <f>F9</f>
        <v>1.6</v>
      </c>
      <c r="I7" s="163">
        <f>F10</f>
        <v>11.4</v>
      </c>
      <c r="J7" s="163">
        <f>F11</f>
        <v>14</v>
      </c>
      <c r="K7" s="163">
        <f>F12</f>
        <v>9.6</v>
      </c>
      <c r="L7" s="163">
        <f>F13</f>
        <v>7.5</v>
      </c>
      <c r="M7" s="163">
        <f>F14</f>
        <v>14.2</v>
      </c>
      <c r="N7" s="163">
        <f>F15</f>
        <v>14.1</v>
      </c>
      <c r="O7" s="163">
        <f>F16</f>
        <v>14.5</v>
      </c>
      <c r="Q7" s="87">
        <f t="shared" si="1"/>
        <v>10.161538461538461</v>
      </c>
      <c r="U7" s="75" t="str">
        <f t="shared" ref="U7:U17" si="3">$B$4</f>
        <v>Bembridge</v>
      </c>
      <c r="V7" s="75" t="s">
        <v>190</v>
      </c>
      <c r="W7" s="87">
        <f t="shared" ref="W7:W17" si="4">C6</f>
        <v>17.8</v>
      </c>
      <c r="X7" s="108">
        <f>SQRT(((C66-$C$64)^2)+((D66-$D$64)^2))</f>
        <v>18.848198558488306</v>
      </c>
      <c r="Y7" s="108">
        <f>(W7*1.0113)+0.1646</f>
        <v>18.165740000000003</v>
      </c>
      <c r="Z7" s="172">
        <f t="shared" ref="Z7:Z26" si="5">(X7-Y7)^2</f>
        <v>0.46574968405393274</v>
      </c>
      <c r="AA7" s="172">
        <f t="shared" ref="AA7:AA26" si="6">X7^2</f>
        <v>355.25458890020064</v>
      </c>
      <c r="AD7" s="75" t="s">
        <v>191</v>
      </c>
      <c r="AE7" s="178">
        <f t="shared" si="2"/>
        <v>14.626190000000003</v>
      </c>
      <c r="AF7" s="178">
        <f t="shared" ref="AF7:AF16" si="7">Y19</f>
        <v>14.019410000000001</v>
      </c>
      <c r="AG7" s="178">
        <f>Y29</f>
        <v>12.502460000000001</v>
      </c>
      <c r="AH7" s="178">
        <v>0</v>
      </c>
      <c r="AI7" s="178">
        <f>AH8</f>
        <v>5.2211000000000007</v>
      </c>
      <c r="AJ7" s="178">
        <f>AH9</f>
        <v>1.7826800000000003</v>
      </c>
      <c r="AK7" s="178">
        <f>AH10</f>
        <v>11.693420000000001</v>
      </c>
      <c r="AL7" s="178">
        <f>AH11</f>
        <v>14.322800000000001</v>
      </c>
      <c r="AM7" s="178">
        <f>AH12</f>
        <v>9.8730799999999999</v>
      </c>
      <c r="AN7" s="178">
        <f>AH13</f>
        <v>7.7493500000000006</v>
      </c>
      <c r="AO7" s="178">
        <f>AH14</f>
        <v>14.52506</v>
      </c>
      <c r="AP7" s="178">
        <f>AH15</f>
        <v>14.42393</v>
      </c>
      <c r="AQ7" s="178">
        <f>AH16</f>
        <v>14.828450000000002</v>
      </c>
      <c r="AS7" s="108">
        <f t="shared" si="0"/>
        <v>10.428302307692308</v>
      </c>
      <c r="AW7" s="75" t="str">
        <f t="shared" ref="AW7:AW17" si="8">$B$4</f>
        <v>Bembridge</v>
      </c>
      <c r="AX7" s="106" t="str">
        <f t="shared" ref="AX7:AX70" si="9">V7</f>
        <v>Brightstone</v>
      </c>
      <c r="AY7" s="87">
        <f t="shared" ref="AY7:AY70" si="10">W7</f>
        <v>17.8</v>
      </c>
      <c r="AZ7" s="108">
        <f t="shared" ref="AZ7:AZ17" si="11">SQRT(((AE65-$AE$63)^2)+((AF65-$AF$63)^2))</f>
        <v>19.055190465628201</v>
      </c>
      <c r="BA7" s="108">
        <f t="shared" ref="BA7:BA70" si="12">(AY7*1.0367)+0.1602</f>
        <v>18.61346</v>
      </c>
      <c r="BB7" s="83">
        <f t="shared" ref="BB7:BB70" si="13">(AZ7-BA7)^2</f>
        <v>0.19512580426410692</v>
      </c>
      <c r="BC7" s="83">
        <f t="shared" ref="BC7:BC70" si="14">AZ7^2</f>
        <v>363.1002836813679</v>
      </c>
    </row>
    <row r="8" spans="2:64">
      <c r="B8" s="75" t="s">
        <v>192</v>
      </c>
      <c r="C8" s="163">
        <v>10.6</v>
      </c>
      <c r="D8" s="163">
        <v>9</v>
      </c>
      <c r="E8" s="163">
        <v>7.1</v>
      </c>
      <c r="F8" s="163">
        <v>5</v>
      </c>
      <c r="G8" s="163">
        <v>0</v>
      </c>
      <c r="H8" s="163">
        <f>G9</f>
        <v>3.2</v>
      </c>
      <c r="I8" s="163">
        <f>G10</f>
        <v>6.4</v>
      </c>
      <c r="J8" s="163">
        <f>G11</f>
        <v>8.9</v>
      </c>
      <c r="K8" s="163">
        <f>G12</f>
        <v>10</v>
      </c>
      <c r="L8" s="163">
        <f>G13</f>
        <v>6.1</v>
      </c>
      <c r="M8" s="163">
        <f>G14</f>
        <v>9.1</v>
      </c>
      <c r="N8" s="163">
        <f>G15</f>
        <v>12.4</v>
      </c>
      <c r="O8" s="163">
        <f>G16</f>
        <v>10.5</v>
      </c>
      <c r="Q8" s="87">
        <f t="shared" si="1"/>
        <v>7.5615384615384613</v>
      </c>
      <c r="U8" s="75" t="str">
        <f t="shared" si="3"/>
        <v>Bembridge</v>
      </c>
      <c r="V8" s="75" t="s">
        <v>191</v>
      </c>
      <c r="W8" s="87">
        <f t="shared" si="4"/>
        <v>14.3</v>
      </c>
      <c r="X8" s="108">
        <f t="shared" ref="X8:X16" si="15">SQRT(((C67-$C$64)^2)+((D67-$D$64)^2))</f>
        <v>14.558255015968632</v>
      </c>
      <c r="Y8" s="108">
        <f t="shared" ref="Y8:Y26" si="16">(W8*1.0113)+0.1646</f>
        <v>14.626190000000003</v>
      </c>
      <c r="Z8" s="172">
        <f t="shared" si="5"/>
        <v>4.6151620553426618E-3</v>
      </c>
      <c r="AA8" s="172">
        <f t="shared" si="6"/>
        <v>211.94278910997582</v>
      </c>
      <c r="AD8" s="75" t="s">
        <v>192</v>
      </c>
      <c r="AE8" s="178">
        <f t="shared" si="2"/>
        <v>10.88438</v>
      </c>
      <c r="AF8" s="178">
        <f t="shared" si="7"/>
        <v>9.2663000000000011</v>
      </c>
      <c r="AG8" s="178">
        <f t="shared" ref="AG8:AG16" si="17">Y30</f>
        <v>7.34483</v>
      </c>
      <c r="AH8" s="178">
        <f>Y39</f>
        <v>5.2211000000000007</v>
      </c>
      <c r="AI8" s="178">
        <v>0</v>
      </c>
      <c r="AJ8" s="178">
        <f>AI9</f>
        <v>3.4007600000000004</v>
      </c>
      <c r="AK8" s="178">
        <f>AI10</f>
        <v>6.6369200000000008</v>
      </c>
      <c r="AL8" s="178">
        <f>AI11</f>
        <v>9.1651700000000016</v>
      </c>
      <c r="AM8" s="178">
        <f>AI12</f>
        <v>10.277600000000001</v>
      </c>
      <c r="AN8" s="178">
        <f>AI13</f>
        <v>6.3335300000000005</v>
      </c>
      <c r="AO8" s="178">
        <f>AI14</f>
        <v>9.3674300000000006</v>
      </c>
      <c r="AP8" s="178">
        <f>AI15</f>
        <v>12.704720000000002</v>
      </c>
      <c r="AQ8" s="178">
        <f>AI16</f>
        <v>10.783250000000001</v>
      </c>
      <c r="AS8" s="108">
        <f t="shared" si="0"/>
        <v>7.7989223076923082</v>
      </c>
      <c r="AW8" s="75" t="str">
        <f t="shared" si="8"/>
        <v>Bembridge</v>
      </c>
      <c r="AX8" s="106" t="str">
        <f t="shared" si="9"/>
        <v>Cowes</v>
      </c>
      <c r="AY8" s="87">
        <f t="shared" si="10"/>
        <v>14.3</v>
      </c>
      <c r="AZ8" s="108">
        <f t="shared" si="11"/>
        <v>14.772690064246238</v>
      </c>
      <c r="BA8" s="108">
        <f t="shared" si="12"/>
        <v>14.985009999999999</v>
      </c>
      <c r="BB8" s="83">
        <f t="shared" si="13"/>
        <v>4.5079755118481418E-2</v>
      </c>
      <c r="BC8" s="83">
        <f t="shared" si="14"/>
        <v>218.2323717342795</v>
      </c>
    </row>
    <row r="9" spans="2:64">
      <c r="B9" s="75" t="s">
        <v>193</v>
      </c>
      <c r="C9" s="163">
        <v>14</v>
      </c>
      <c r="D9" s="163">
        <v>12.4</v>
      </c>
      <c r="E9" s="163">
        <v>10.199999999999999</v>
      </c>
      <c r="F9" s="163">
        <v>1.6</v>
      </c>
      <c r="G9" s="163">
        <v>3.2</v>
      </c>
      <c r="H9" s="163">
        <v>0</v>
      </c>
      <c r="I9" s="163">
        <f>H10</f>
        <v>9.6</v>
      </c>
      <c r="J9" s="163">
        <f>H11</f>
        <v>12.3</v>
      </c>
      <c r="K9" s="163">
        <f>H12</f>
        <v>13.2</v>
      </c>
      <c r="L9" s="163">
        <f>H13</f>
        <v>8.1</v>
      </c>
      <c r="M9" s="163">
        <f>H14</f>
        <v>12.4</v>
      </c>
      <c r="N9" s="163">
        <f>H15</f>
        <v>14.3</v>
      </c>
      <c r="O9" s="163">
        <f>H16</f>
        <v>13.8</v>
      </c>
      <c r="Q9" s="87">
        <f t="shared" si="1"/>
        <v>9.6230769230769226</v>
      </c>
      <c r="U9" s="75" t="str">
        <f t="shared" si="3"/>
        <v>Bembridge</v>
      </c>
      <c r="V9" s="75" t="s">
        <v>192</v>
      </c>
      <c r="W9" s="87">
        <f t="shared" si="4"/>
        <v>10.6</v>
      </c>
      <c r="X9" s="108">
        <f t="shared" si="15"/>
        <v>12.338712823981144</v>
      </c>
      <c r="Y9" s="108">
        <f t="shared" si="16"/>
        <v>10.88438</v>
      </c>
      <c r="Z9" s="172">
        <f t="shared" si="5"/>
        <v>2.1150839629089684</v>
      </c>
      <c r="AA9" s="172">
        <f t="shared" si="6"/>
        <v>152.24383415267673</v>
      </c>
      <c r="AD9" s="75" t="s">
        <v>193</v>
      </c>
      <c r="AE9" s="178">
        <f t="shared" si="2"/>
        <v>14.322800000000001</v>
      </c>
      <c r="AF9" s="178">
        <f t="shared" si="7"/>
        <v>12.704720000000002</v>
      </c>
      <c r="AG9" s="178">
        <f t="shared" si="17"/>
        <v>10.47986</v>
      </c>
      <c r="AH9" s="178">
        <f t="shared" ref="AH9:AH16" si="18">Y40</f>
        <v>1.7826800000000003</v>
      </c>
      <c r="AI9" s="178">
        <f>Y48</f>
        <v>3.4007600000000004</v>
      </c>
      <c r="AJ9" s="178">
        <v>0</v>
      </c>
      <c r="AK9" s="178">
        <f>AJ10</f>
        <v>9.8730799999999999</v>
      </c>
      <c r="AL9" s="178">
        <f>AJ11</f>
        <v>12.603590000000002</v>
      </c>
      <c r="AM9" s="178">
        <f>AJ12</f>
        <v>13.513760000000001</v>
      </c>
      <c r="AN9" s="178">
        <f>AJ13</f>
        <v>8.3561300000000003</v>
      </c>
      <c r="AO9" s="178">
        <f>AJ14</f>
        <v>12.704720000000002</v>
      </c>
      <c r="AP9" s="178">
        <f>AJ15</f>
        <v>14.626190000000003</v>
      </c>
      <c r="AQ9" s="178">
        <f>AJ16</f>
        <v>14.120540000000002</v>
      </c>
      <c r="AS9" s="108">
        <f t="shared" si="0"/>
        <v>9.8837561538461571</v>
      </c>
      <c r="AW9" s="75" t="str">
        <f t="shared" si="8"/>
        <v>Bembridge</v>
      </c>
      <c r="AX9" s="106" t="str">
        <f t="shared" si="9"/>
        <v>Newport</v>
      </c>
      <c r="AY9" s="87">
        <f t="shared" si="10"/>
        <v>10.6</v>
      </c>
      <c r="AZ9" s="108">
        <f t="shared" si="11"/>
        <v>12.502814093857692</v>
      </c>
      <c r="BA9" s="108">
        <f t="shared" si="12"/>
        <v>11.14922</v>
      </c>
      <c r="BB9" s="83">
        <f t="shared" si="13"/>
        <v>1.8322169709264275</v>
      </c>
      <c r="BC9" s="83">
        <f t="shared" si="14"/>
        <v>156.32036026556653</v>
      </c>
    </row>
    <row r="10" spans="2:64">
      <c r="B10" s="75" t="s">
        <v>194</v>
      </c>
      <c r="C10" s="163">
        <v>7.7</v>
      </c>
      <c r="D10" s="163">
        <v>16.2</v>
      </c>
      <c r="E10" s="163">
        <v>13.6</v>
      </c>
      <c r="F10" s="163">
        <v>11.4</v>
      </c>
      <c r="G10" s="163">
        <v>6.4</v>
      </c>
      <c r="H10" s="163">
        <v>9.6</v>
      </c>
      <c r="I10" s="163">
        <v>0</v>
      </c>
      <c r="J10" s="163">
        <f>I11</f>
        <v>6.4</v>
      </c>
      <c r="K10" s="163">
        <f>I12</f>
        <v>2.2999999999999998</v>
      </c>
      <c r="L10" s="163">
        <f>I13</f>
        <v>12.3</v>
      </c>
      <c r="M10" s="163">
        <f>I14</f>
        <v>8.6</v>
      </c>
      <c r="N10" s="163">
        <f>I15</f>
        <v>18.7</v>
      </c>
      <c r="O10" s="163">
        <f>I16</f>
        <v>11.8</v>
      </c>
      <c r="Q10" s="87">
        <f t="shared" si="1"/>
        <v>9.615384615384615</v>
      </c>
      <c r="U10" s="75" t="str">
        <f t="shared" si="3"/>
        <v>Bembridge</v>
      </c>
      <c r="V10" s="75" t="s">
        <v>193</v>
      </c>
      <c r="W10" s="87">
        <f t="shared" si="4"/>
        <v>14</v>
      </c>
      <c r="X10" s="108">
        <f t="shared" si="15"/>
        <v>14.296172875816684</v>
      </c>
      <c r="Y10" s="108">
        <f t="shared" si="16"/>
        <v>14.322800000000001</v>
      </c>
      <c r="Z10" s="172">
        <f t="shared" si="5"/>
        <v>7.0900374227380431E-4</v>
      </c>
      <c r="AA10" s="172">
        <f t="shared" si="6"/>
        <v>204.38055889523667</v>
      </c>
      <c r="AD10" s="75" t="s">
        <v>194</v>
      </c>
      <c r="AE10" s="178">
        <f t="shared" si="2"/>
        <v>7.9516100000000005</v>
      </c>
      <c r="AF10" s="178">
        <f t="shared" si="7"/>
        <v>16.54766</v>
      </c>
      <c r="AG10" s="178">
        <f t="shared" si="17"/>
        <v>13.918280000000001</v>
      </c>
      <c r="AH10" s="178">
        <f t="shared" si="18"/>
        <v>11.693420000000001</v>
      </c>
      <c r="AI10" s="178">
        <f t="shared" ref="AI10:AI16" si="19">Y49</f>
        <v>6.6369200000000008</v>
      </c>
      <c r="AJ10" s="178">
        <f>Y56</f>
        <v>9.8730799999999999</v>
      </c>
      <c r="AK10" s="178">
        <v>0</v>
      </c>
      <c r="AL10" s="178">
        <f>AK11</f>
        <v>6.6369200000000008</v>
      </c>
      <c r="AM10" s="178">
        <f>AK12</f>
        <v>2.4905900000000001</v>
      </c>
      <c r="AN10" s="178">
        <f>AK13</f>
        <v>12.603590000000002</v>
      </c>
      <c r="AO10" s="178">
        <f>AK14</f>
        <v>8.8617800000000013</v>
      </c>
      <c r="AP10" s="178">
        <f>AK15</f>
        <v>19.07591</v>
      </c>
      <c r="AQ10" s="178">
        <f>AK16</f>
        <v>12.097940000000001</v>
      </c>
      <c r="AS10" s="108">
        <f t="shared" si="0"/>
        <v>9.875976923076923</v>
      </c>
      <c r="AW10" s="75" t="str">
        <f t="shared" si="8"/>
        <v>Bembridge</v>
      </c>
      <c r="AX10" s="106" t="str">
        <f t="shared" si="9"/>
        <v>Northwood</v>
      </c>
      <c r="AY10" s="87">
        <f t="shared" si="10"/>
        <v>14</v>
      </c>
      <c r="AZ10" s="108">
        <f t="shared" si="11"/>
        <v>14.506880831838698</v>
      </c>
      <c r="BA10" s="108">
        <f t="shared" si="12"/>
        <v>14.673999999999999</v>
      </c>
      <c r="BB10" s="83">
        <f t="shared" si="13"/>
        <v>2.7928816366925319E-2</v>
      </c>
      <c r="BC10" s="83">
        <f t="shared" si="14"/>
        <v>210.44959146916904</v>
      </c>
    </row>
    <row r="11" spans="2:64">
      <c r="B11" s="75" t="s">
        <v>195</v>
      </c>
      <c r="C11" s="163">
        <v>4.8</v>
      </c>
      <c r="D11" s="163">
        <v>10.4</v>
      </c>
      <c r="E11" s="163">
        <v>15.4</v>
      </c>
      <c r="F11" s="163">
        <v>14</v>
      </c>
      <c r="G11" s="163">
        <v>8.9</v>
      </c>
      <c r="H11" s="163">
        <v>12.3</v>
      </c>
      <c r="I11" s="163">
        <v>6.4</v>
      </c>
      <c r="J11" s="163">
        <v>0</v>
      </c>
      <c r="K11" s="163">
        <f>J12</f>
        <v>6.6</v>
      </c>
      <c r="L11" s="163">
        <f>J13</f>
        <v>15</v>
      </c>
      <c r="M11" s="163">
        <f>J14</f>
        <v>2.2000000000000002</v>
      </c>
      <c r="N11" s="163">
        <f>J15</f>
        <v>21.2</v>
      </c>
      <c r="O11" s="163">
        <f>J16</f>
        <v>5.0999999999999996</v>
      </c>
      <c r="Q11" s="87">
        <f t="shared" si="1"/>
        <v>9.407692307692308</v>
      </c>
      <c r="U11" s="75" t="str">
        <f t="shared" si="3"/>
        <v>Bembridge</v>
      </c>
      <c r="V11" s="75" t="s">
        <v>194</v>
      </c>
      <c r="W11" s="87">
        <f t="shared" si="4"/>
        <v>7.7</v>
      </c>
      <c r="X11" s="108">
        <f t="shared" si="15"/>
        <v>5.363137868755925</v>
      </c>
      <c r="Y11" s="108">
        <f t="shared" si="16"/>
        <v>7.9516100000000005</v>
      </c>
      <c r="Z11" s="172">
        <f t="shared" si="5"/>
        <v>6.7001879742272461</v>
      </c>
      <c r="AA11" s="172">
        <f t="shared" si="6"/>
        <v>28.763247799283846</v>
      </c>
      <c r="AD11" s="75" t="s">
        <v>195</v>
      </c>
      <c r="AE11" s="178">
        <f t="shared" si="2"/>
        <v>5.01884</v>
      </c>
      <c r="AF11" s="178">
        <f t="shared" si="7"/>
        <v>10.682120000000001</v>
      </c>
      <c r="AG11" s="178">
        <f t="shared" si="17"/>
        <v>15.738620000000001</v>
      </c>
      <c r="AH11" s="178">
        <f t="shared" si="18"/>
        <v>14.322800000000001</v>
      </c>
      <c r="AI11" s="178">
        <f t="shared" si="19"/>
        <v>9.1651700000000016</v>
      </c>
      <c r="AJ11" s="178">
        <f t="shared" ref="AJ11:AJ16" si="20">Y57</f>
        <v>12.603590000000002</v>
      </c>
      <c r="AK11" s="178">
        <f t="shared" ref="AK11:AK16" si="21">Y63</f>
        <v>6.6369200000000008</v>
      </c>
      <c r="AL11" s="178">
        <v>0</v>
      </c>
      <c r="AM11" s="178">
        <f>AL12</f>
        <v>6.8391800000000007</v>
      </c>
      <c r="AN11" s="178">
        <f>AL13</f>
        <v>15.334100000000001</v>
      </c>
      <c r="AO11" s="178">
        <f>AL14</f>
        <v>2.3894600000000006</v>
      </c>
      <c r="AP11" s="178">
        <f>AL15</f>
        <v>21.60416</v>
      </c>
      <c r="AQ11" s="178">
        <f>AL16</f>
        <v>5.3222300000000002</v>
      </c>
      <c r="AS11" s="108">
        <f t="shared" si="0"/>
        <v>9.6659376923076952</v>
      </c>
      <c r="AW11" s="75" t="str">
        <f t="shared" si="8"/>
        <v>Bembridge</v>
      </c>
      <c r="AX11" s="106" t="str">
        <f t="shared" si="9"/>
        <v>Ryde</v>
      </c>
      <c r="AY11" s="87">
        <f t="shared" si="10"/>
        <v>7.7</v>
      </c>
      <c r="AZ11" s="108">
        <f t="shared" si="11"/>
        <v>5.1326018782964535</v>
      </c>
      <c r="BA11" s="108">
        <f t="shared" si="12"/>
        <v>8.1427899999999998</v>
      </c>
      <c r="BB11" s="83">
        <f t="shared" si="13"/>
        <v>9.0612325280451227</v>
      </c>
      <c r="BC11" s="83">
        <f t="shared" si="14"/>
        <v>26.343602041092282</v>
      </c>
    </row>
    <row r="12" spans="2:64">
      <c r="B12" s="75" t="s">
        <v>196</v>
      </c>
      <c r="C12" s="163">
        <v>4.0999999999999996</v>
      </c>
      <c r="D12" s="163">
        <v>17.600000000000001</v>
      </c>
      <c r="E12" s="163">
        <v>17.5</v>
      </c>
      <c r="F12" s="163">
        <v>9.6</v>
      </c>
      <c r="G12" s="163">
        <v>10</v>
      </c>
      <c r="H12" s="163">
        <v>13.2</v>
      </c>
      <c r="I12" s="163">
        <v>2.2999999999999998</v>
      </c>
      <c r="J12" s="163">
        <v>6.6</v>
      </c>
      <c r="K12" s="163">
        <v>0</v>
      </c>
      <c r="L12" s="163">
        <f>K13</f>
        <v>16.3</v>
      </c>
      <c r="M12" s="163">
        <f>K14</f>
        <v>8.4</v>
      </c>
      <c r="N12" s="163">
        <f>K15</f>
        <v>22.4</v>
      </c>
      <c r="O12" s="163">
        <f>K16</f>
        <v>12</v>
      </c>
      <c r="Q12" s="87">
        <f t="shared" si="1"/>
        <v>10.76923076923077</v>
      </c>
      <c r="U12" s="75" t="str">
        <f t="shared" si="3"/>
        <v>Bembridge</v>
      </c>
      <c r="V12" s="75" t="s">
        <v>195</v>
      </c>
      <c r="W12" s="87">
        <f t="shared" si="4"/>
        <v>4.8</v>
      </c>
      <c r="X12" s="108">
        <f t="shared" si="15"/>
        <v>3.7479257406980535</v>
      </c>
      <c r="Y12" s="108">
        <f t="shared" si="16"/>
        <v>5.01884</v>
      </c>
      <c r="Z12" s="172">
        <f t="shared" si="5"/>
        <v>1.6152230544970152</v>
      </c>
      <c r="AA12" s="172">
        <f t="shared" si="6"/>
        <v>14.046947357787053</v>
      </c>
      <c r="AD12" s="75" t="s">
        <v>196</v>
      </c>
      <c r="AE12" s="178">
        <f t="shared" si="2"/>
        <v>4.3109299999999999</v>
      </c>
      <c r="AF12" s="178">
        <f t="shared" si="7"/>
        <v>17.963480000000004</v>
      </c>
      <c r="AG12" s="178">
        <f t="shared" si="17"/>
        <v>17.862350000000003</v>
      </c>
      <c r="AH12" s="178">
        <f t="shared" si="18"/>
        <v>9.8730799999999999</v>
      </c>
      <c r="AI12" s="178">
        <f t="shared" si="19"/>
        <v>10.277600000000001</v>
      </c>
      <c r="AJ12" s="178">
        <f t="shared" si="20"/>
        <v>13.513760000000001</v>
      </c>
      <c r="AK12" s="178">
        <f t="shared" si="21"/>
        <v>2.4905900000000001</v>
      </c>
      <c r="AL12" s="178">
        <f>Y69</f>
        <v>6.8391800000000007</v>
      </c>
      <c r="AM12" s="178">
        <v>0</v>
      </c>
      <c r="AN12" s="178">
        <f>AM13</f>
        <v>16.648790000000002</v>
      </c>
      <c r="AO12" s="178">
        <f>AM14</f>
        <v>8.6595200000000006</v>
      </c>
      <c r="AP12" s="178">
        <f>AM15</f>
        <v>22.817720000000001</v>
      </c>
      <c r="AQ12" s="178">
        <f>AM16</f>
        <v>12.3002</v>
      </c>
      <c r="AS12" s="108">
        <f t="shared" si="0"/>
        <v>11.042861538461539</v>
      </c>
      <c r="AW12" s="75" t="str">
        <f t="shared" si="8"/>
        <v>Bembridge</v>
      </c>
      <c r="AX12" s="106" t="str">
        <f t="shared" si="9"/>
        <v>Sandown</v>
      </c>
      <c r="AY12" s="87">
        <f t="shared" si="10"/>
        <v>4.8</v>
      </c>
      <c r="AZ12" s="108">
        <f t="shared" si="11"/>
        <v>3.770625866882638</v>
      </c>
      <c r="BA12" s="108">
        <f t="shared" si="12"/>
        <v>5.1363599999999989</v>
      </c>
      <c r="BB12" s="83">
        <f t="shared" si="13"/>
        <v>1.8652297223618293</v>
      </c>
      <c r="BC12" s="83">
        <f t="shared" si="14"/>
        <v>14.217619428004445</v>
      </c>
    </row>
    <row r="13" spans="2:64">
      <c r="B13" s="75" t="s">
        <v>197</v>
      </c>
      <c r="C13" s="163">
        <v>17</v>
      </c>
      <c r="D13" s="163">
        <v>11.1</v>
      </c>
      <c r="E13" s="163">
        <v>4.9000000000000004</v>
      </c>
      <c r="F13" s="163">
        <v>7.5</v>
      </c>
      <c r="G13" s="163">
        <v>6.1</v>
      </c>
      <c r="H13" s="163">
        <v>8.1</v>
      </c>
      <c r="I13" s="163">
        <v>12.3</v>
      </c>
      <c r="J13" s="163">
        <v>15</v>
      </c>
      <c r="K13" s="163">
        <v>16.3</v>
      </c>
      <c r="L13" s="163">
        <v>0</v>
      </c>
      <c r="M13" s="163">
        <f>L14</f>
        <v>15.1</v>
      </c>
      <c r="N13" s="163">
        <f>L15</f>
        <v>6.3</v>
      </c>
      <c r="O13" s="163">
        <f>L16</f>
        <v>16.5</v>
      </c>
      <c r="Q13" s="87">
        <f t="shared" si="1"/>
        <v>10.476923076923075</v>
      </c>
      <c r="U13" s="75" t="str">
        <f t="shared" si="3"/>
        <v>Bembridge</v>
      </c>
      <c r="V13" s="75" t="s">
        <v>196</v>
      </c>
      <c r="W13" s="87">
        <f t="shared" si="4"/>
        <v>4.0999999999999996</v>
      </c>
      <c r="X13" s="108">
        <f t="shared" si="15"/>
        <v>3.2685301165369456</v>
      </c>
      <c r="Y13" s="108">
        <f t="shared" si="16"/>
        <v>4.3109299999999999</v>
      </c>
      <c r="Z13" s="172">
        <f t="shared" si="5"/>
        <v>1.0865975170437894</v>
      </c>
      <c r="AA13" s="172">
        <f t="shared" si="6"/>
        <v>10.683289122709018</v>
      </c>
      <c r="AD13" s="75" t="s">
        <v>197</v>
      </c>
      <c r="AE13" s="178">
        <f t="shared" si="2"/>
        <v>17.3567</v>
      </c>
      <c r="AF13" s="178">
        <f t="shared" si="7"/>
        <v>11.390030000000001</v>
      </c>
      <c r="AG13" s="178">
        <f t="shared" si="17"/>
        <v>5.1199700000000012</v>
      </c>
      <c r="AH13" s="178">
        <f t="shared" si="18"/>
        <v>7.7493500000000006</v>
      </c>
      <c r="AI13" s="178">
        <f t="shared" si="19"/>
        <v>6.3335300000000005</v>
      </c>
      <c r="AJ13" s="178">
        <f t="shared" si="20"/>
        <v>8.3561300000000003</v>
      </c>
      <c r="AK13" s="178">
        <f t="shared" si="21"/>
        <v>12.603590000000002</v>
      </c>
      <c r="AL13" s="178">
        <f>Y70</f>
        <v>15.334100000000001</v>
      </c>
      <c r="AM13" s="178">
        <f>Y74</f>
        <v>16.648790000000002</v>
      </c>
      <c r="AN13" s="178">
        <v>0</v>
      </c>
      <c r="AO13" s="178">
        <f>AN14</f>
        <v>15.435230000000001</v>
      </c>
      <c r="AP13" s="178">
        <f>AN15</f>
        <v>6.5357900000000004</v>
      </c>
      <c r="AQ13" s="178">
        <f>AN16</f>
        <v>16.851050000000001</v>
      </c>
      <c r="AS13" s="108">
        <f t="shared" si="0"/>
        <v>10.747250769230771</v>
      </c>
      <c r="AW13" s="75" t="str">
        <f t="shared" si="8"/>
        <v>Bembridge</v>
      </c>
      <c r="AX13" s="106" t="str">
        <f t="shared" si="9"/>
        <v>Seaview</v>
      </c>
      <c r="AY13" s="87">
        <f t="shared" si="10"/>
        <v>4.0999999999999996</v>
      </c>
      <c r="AZ13" s="108">
        <f t="shared" si="11"/>
        <v>3.4607163022028677</v>
      </c>
      <c r="BA13" s="108">
        <f t="shared" si="12"/>
        <v>4.4106699999999988</v>
      </c>
      <c r="BB13" s="83">
        <f t="shared" si="13"/>
        <v>0.90241202795844289</v>
      </c>
      <c r="BC13" s="83">
        <f t="shared" si="14"/>
        <v>11.97655732433269</v>
      </c>
    </row>
    <row r="14" spans="2:64">
      <c r="B14" s="75" t="s">
        <v>198</v>
      </c>
      <c r="C14" s="163">
        <v>6.7</v>
      </c>
      <c r="D14" s="163">
        <v>9.5</v>
      </c>
      <c r="E14" s="163">
        <v>12</v>
      </c>
      <c r="F14" s="163">
        <v>14.2</v>
      </c>
      <c r="G14" s="163">
        <v>9.1</v>
      </c>
      <c r="H14" s="163">
        <v>12.4</v>
      </c>
      <c r="I14" s="163">
        <v>8.6</v>
      </c>
      <c r="J14" s="163">
        <v>2.2000000000000002</v>
      </c>
      <c r="K14" s="163">
        <v>8.4</v>
      </c>
      <c r="L14" s="163">
        <v>15.1</v>
      </c>
      <c r="M14" s="163">
        <v>0</v>
      </c>
      <c r="N14" s="163">
        <f>M15</f>
        <v>21.4</v>
      </c>
      <c r="O14" s="163">
        <f>M16</f>
        <v>3.6</v>
      </c>
      <c r="Q14" s="87">
        <f t="shared" si="1"/>
        <v>9.4769230769230752</v>
      </c>
      <c r="U14" s="75" t="str">
        <f t="shared" si="3"/>
        <v>Bembridge</v>
      </c>
      <c r="V14" s="75" t="s">
        <v>197</v>
      </c>
      <c r="W14" s="87">
        <f t="shared" si="4"/>
        <v>17</v>
      </c>
      <c r="X14" s="108">
        <f t="shared" si="15"/>
        <v>19.272892248535634</v>
      </c>
      <c r="Y14" s="108">
        <f t="shared" si="16"/>
        <v>17.3567</v>
      </c>
      <c r="Z14" s="172">
        <f t="shared" si="5"/>
        <v>3.6717927333480471</v>
      </c>
      <c r="AA14" s="172">
        <f t="shared" si="6"/>
        <v>371.44437562366488</v>
      </c>
      <c r="AD14" s="75" t="s">
        <v>198</v>
      </c>
      <c r="AE14" s="178">
        <f t="shared" si="2"/>
        <v>6.9403100000000011</v>
      </c>
      <c r="AF14" s="178">
        <f t="shared" si="7"/>
        <v>9.7719500000000004</v>
      </c>
      <c r="AG14" s="178">
        <f t="shared" si="17"/>
        <v>12.3002</v>
      </c>
      <c r="AH14" s="178">
        <f t="shared" si="18"/>
        <v>14.52506</v>
      </c>
      <c r="AI14" s="178">
        <f t="shared" si="19"/>
        <v>9.3674300000000006</v>
      </c>
      <c r="AJ14" s="178">
        <f t="shared" si="20"/>
        <v>12.704720000000002</v>
      </c>
      <c r="AK14" s="178">
        <f t="shared" si="21"/>
        <v>8.8617800000000013</v>
      </c>
      <c r="AL14" s="178">
        <f>Y71</f>
        <v>2.3894600000000006</v>
      </c>
      <c r="AM14" s="178">
        <f>Y75</f>
        <v>8.6595200000000006</v>
      </c>
      <c r="AN14" s="178">
        <f>Y78</f>
        <v>15.435230000000001</v>
      </c>
      <c r="AO14" s="178">
        <v>0</v>
      </c>
      <c r="AP14" s="178">
        <f>AO15</f>
        <v>21.806419999999999</v>
      </c>
      <c r="AQ14" s="178">
        <f>AO16</f>
        <v>3.8052800000000007</v>
      </c>
      <c r="AS14" s="108">
        <f t="shared" si="0"/>
        <v>9.7359507692307687</v>
      </c>
      <c r="AW14" s="75" t="str">
        <f t="shared" si="8"/>
        <v>Bembridge</v>
      </c>
      <c r="AX14" s="106" t="str">
        <f t="shared" si="9"/>
        <v>Shalfleet</v>
      </c>
      <c r="AY14" s="87">
        <f t="shared" si="10"/>
        <v>17</v>
      </c>
      <c r="AZ14" s="108">
        <f t="shared" si="11"/>
        <v>19.518299965341111</v>
      </c>
      <c r="BA14" s="108">
        <f t="shared" si="12"/>
        <v>17.784099999999999</v>
      </c>
      <c r="BB14" s="83">
        <f t="shared" si="13"/>
        <v>3.0074495197891147</v>
      </c>
      <c r="BC14" s="83">
        <f t="shared" si="14"/>
        <v>380.96403353703482</v>
      </c>
    </row>
    <row r="15" spans="2:64">
      <c r="B15" s="75" t="s">
        <v>199</v>
      </c>
      <c r="C15" s="163">
        <v>22.9</v>
      </c>
      <c r="D15" s="163">
        <v>12.6</v>
      </c>
      <c r="E15" s="163">
        <v>8.3000000000000007</v>
      </c>
      <c r="F15" s="163">
        <v>14.1</v>
      </c>
      <c r="G15" s="163">
        <v>12.4</v>
      </c>
      <c r="H15" s="163">
        <v>14.3</v>
      </c>
      <c r="I15" s="163">
        <v>18.7</v>
      </c>
      <c r="J15" s="163">
        <v>21.2</v>
      </c>
      <c r="K15" s="163">
        <v>22.4</v>
      </c>
      <c r="L15" s="163">
        <v>6.3</v>
      </c>
      <c r="M15" s="163">
        <v>21.4</v>
      </c>
      <c r="N15" s="163">
        <v>0</v>
      </c>
      <c r="O15" s="163">
        <f>N16</f>
        <v>18.899999999999999</v>
      </c>
      <c r="Q15" s="87">
        <f t="shared" si="1"/>
        <v>14.884615384615387</v>
      </c>
      <c r="U15" s="75" t="str">
        <f t="shared" si="3"/>
        <v>Bembridge</v>
      </c>
      <c r="V15" s="75" t="s">
        <v>198</v>
      </c>
      <c r="W15" s="87">
        <f t="shared" si="4"/>
        <v>6.7</v>
      </c>
      <c r="X15" s="108">
        <f t="shared" si="15"/>
        <v>5.7606501984327156</v>
      </c>
      <c r="Y15" s="108">
        <f t="shared" si="16"/>
        <v>6.9403100000000011</v>
      </c>
      <c r="Z15" s="172">
        <f t="shared" si="5"/>
        <v>1.3915972474337672</v>
      </c>
      <c r="AA15" s="172">
        <f t="shared" si="6"/>
        <v>33.185090708702887</v>
      </c>
      <c r="AD15" s="75" t="s">
        <v>199</v>
      </c>
      <c r="AE15" s="178">
        <f t="shared" si="2"/>
        <v>23.323370000000001</v>
      </c>
      <c r="AF15" s="178">
        <f t="shared" si="7"/>
        <v>12.906980000000001</v>
      </c>
      <c r="AG15" s="178">
        <f t="shared" si="17"/>
        <v>8.5583900000000011</v>
      </c>
      <c r="AH15" s="178">
        <f t="shared" si="18"/>
        <v>14.42393</v>
      </c>
      <c r="AI15" s="178">
        <f t="shared" si="19"/>
        <v>12.704720000000002</v>
      </c>
      <c r="AJ15" s="178">
        <f t="shared" si="20"/>
        <v>14.626190000000003</v>
      </c>
      <c r="AK15" s="178">
        <f t="shared" si="21"/>
        <v>19.07591</v>
      </c>
      <c r="AL15" s="178">
        <f>Y72</f>
        <v>21.60416</v>
      </c>
      <c r="AM15" s="178">
        <f>Y76</f>
        <v>22.817720000000001</v>
      </c>
      <c r="AN15" s="178">
        <f>Y79</f>
        <v>6.5357900000000004</v>
      </c>
      <c r="AO15" s="178">
        <f>Y81</f>
        <v>21.806419999999999</v>
      </c>
      <c r="AP15" s="178">
        <v>0</v>
      </c>
      <c r="AQ15" s="178">
        <f>AP16</f>
        <v>19.278169999999999</v>
      </c>
      <c r="AS15" s="108">
        <f t="shared" si="0"/>
        <v>15.204750000000001</v>
      </c>
      <c r="AW15" s="75" t="str">
        <f t="shared" si="8"/>
        <v>Bembridge</v>
      </c>
      <c r="AX15" s="106" t="str">
        <f t="shared" si="9"/>
        <v>Shanklin</v>
      </c>
      <c r="AY15" s="87">
        <f t="shared" si="10"/>
        <v>6.7</v>
      </c>
      <c r="AZ15" s="108">
        <f t="shared" si="11"/>
        <v>5.8709448722452482</v>
      </c>
      <c r="BA15" s="108">
        <f t="shared" si="12"/>
        <v>7.1060899999999991</v>
      </c>
      <c r="BB15" s="83">
        <f t="shared" si="13"/>
        <v>1.5255834866163001</v>
      </c>
      <c r="BC15" s="83">
        <f t="shared" si="14"/>
        <v>34.467993692942777</v>
      </c>
    </row>
    <row r="16" spans="2:64">
      <c r="B16" s="85" t="s">
        <v>200</v>
      </c>
      <c r="C16" s="166">
        <v>10.3</v>
      </c>
      <c r="D16" s="166">
        <v>6</v>
      </c>
      <c r="E16" s="166">
        <v>12.1</v>
      </c>
      <c r="F16" s="166">
        <v>14.5</v>
      </c>
      <c r="G16" s="166">
        <v>10.5</v>
      </c>
      <c r="H16" s="166">
        <v>13.8</v>
      </c>
      <c r="I16" s="166">
        <v>11.8</v>
      </c>
      <c r="J16" s="166">
        <v>5.0999999999999996</v>
      </c>
      <c r="K16" s="166">
        <v>12</v>
      </c>
      <c r="L16" s="166">
        <v>16.5</v>
      </c>
      <c r="M16" s="166">
        <v>3.6</v>
      </c>
      <c r="N16" s="166">
        <v>18.899999999999999</v>
      </c>
      <c r="O16" s="166">
        <v>0</v>
      </c>
      <c r="Q16" s="87">
        <f t="shared" si="1"/>
        <v>10.392307692307693</v>
      </c>
      <c r="U16" s="75" t="str">
        <f t="shared" si="3"/>
        <v>Bembridge</v>
      </c>
      <c r="V16" s="75" t="s">
        <v>199</v>
      </c>
      <c r="W16" s="87">
        <f t="shared" si="4"/>
        <v>22.9</v>
      </c>
      <c r="X16" s="108">
        <f t="shared" si="15"/>
        <v>22.697047936030884</v>
      </c>
      <c r="Y16" s="108">
        <f t="shared" si="16"/>
        <v>23.323370000000001</v>
      </c>
      <c r="Z16" s="172">
        <f t="shared" si="5"/>
        <v>0.39227932781453378</v>
      </c>
      <c r="AA16" s="172">
        <f t="shared" si="6"/>
        <v>515.15598501048385</v>
      </c>
      <c r="AD16" s="85" t="s">
        <v>200</v>
      </c>
      <c r="AE16" s="179">
        <f t="shared" si="2"/>
        <v>10.580990000000002</v>
      </c>
      <c r="AF16" s="179">
        <f t="shared" si="7"/>
        <v>6.2324000000000002</v>
      </c>
      <c r="AG16" s="179">
        <f t="shared" si="17"/>
        <v>12.401330000000002</v>
      </c>
      <c r="AH16" s="179">
        <f t="shared" si="18"/>
        <v>14.828450000000002</v>
      </c>
      <c r="AI16" s="179">
        <f t="shared" si="19"/>
        <v>10.783250000000001</v>
      </c>
      <c r="AJ16" s="179">
        <f t="shared" si="20"/>
        <v>14.120540000000002</v>
      </c>
      <c r="AK16" s="179">
        <f t="shared" si="21"/>
        <v>12.097940000000001</v>
      </c>
      <c r="AL16" s="179">
        <f>Y73</f>
        <v>5.3222300000000002</v>
      </c>
      <c r="AM16" s="179">
        <f>Y77</f>
        <v>12.3002</v>
      </c>
      <c r="AN16" s="179">
        <f>Y80</f>
        <v>16.851050000000001</v>
      </c>
      <c r="AO16" s="179">
        <f>Y82</f>
        <v>3.8052800000000007</v>
      </c>
      <c r="AP16" s="179">
        <f>Y83</f>
        <v>19.278169999999999</v>
      </c>
      <c r="AQ16" s="179">
        <v>0</v>
      </c>
      <c r="AS16" s="108">
        <f t="shared" si="0"/>
        <v>10.661679230769231</v>
      </c>
      <c r="AW16" s="75" t="str">
        <f t="shared" si="8"/>
        <v>Bembridge</v>
      </c>
      <c r="AX16" s="106" t="str">
        <f t="shared" si="9"/>
        <v>Totland</v>
      </c>
      <c r="AY16" s="87">
        <f t="shared" si="10"/>
        <v>22.9</v>
      </c>
      <c r="AZ16" s="108">
        <f t="shared" si="11"/>
        <v>22.970391134427931</v>
      </c>
      <c r="BA16" s="108">
        <f t="shared" si="12"/>
        <v>23.900629999999996</v>
      </c>
      <c r="BB16" s="83">
        <f t="shared" si="13"/>
        <v>0.8653443470208021</v>
      </c>
      <c r="BC16" s="83">
        <f t="shared" si="14"/>
        <v>527.6388688686053</v>
      </c>
    </row>
    <row r="17" spans="2:55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U17" s="75" t="str">
        <f t="shared" si="3"/>
        <v>Bembridge</v>
      </c>
      <c r="V17" s="75" t="s">
        <v>200</v>
      </c>
      <c r="W17" s="87">
        <f t="shared" si="4"/>
        <v>10.3</v>
      </c>
      <c r="X17" s="108">
        <f>SQRT(((C76-$C$64)^2)+((D76-$D$64)^2))</f>
        <v>9.2061402759637705</v>
      </c>
      <c r="Y17" s="108">
        <f t="shared" si="16"/>
        <v>10.580990000000002</v>
      </c>
      <c r="Z17" s="172">
        <f t="shared" si="5"/>
        <v>1.8902117636825011</v>
      </c>
      <c r="AA17" s="172">
        <f t="shared" si="6"/>
        <v>84.753018780722286</v>
      </c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W17" s="75" t="str">
        <f t="shared" si="8"/>
        <v>Bembridge</v>
      </c>
      <c r="AX17" s="106" t="str">
        <f t="shared" si="9"/>
        <v>Ventnor</v>
      </c>
      <c r="AY17" s="87">
        <f t="shared" si="10"/>
        <v>10.3</v>
      </c>
      <c r="AZ17" s="108">
        <f t="shared" si="11"/>
        <v>9.3932489951058269</v>
      </c>
      <c r="BA17" s="108">
        <f t="shared" si="12"/>
        <v>10.83821</v>
      </c>
      <c r="BB17" s="83">
        <f t="shared" si="13"/>
        <v>2.087912305664779</v>
      </c>
      <c r="BC17" s="83">
        <f t="shared" si="14"/>
        <v>88.233126684056629</v>
      </c>
    </row>
    <row r="18" spans="2:55">
      <c r="B18" s="168" t="s">
        <v>419</v>
      </c>
      <c r="C18" s="169">
        <f>AVERAGE(C4:C16)</f>
        <v>11.253846153846155</v>
      </c>
      <c r="D18" s="169">
        <f t="shared" ref="D18:O18" si="22">AVERAGE(D4:D16)</f>
        <v>10.807692307692308</v>
      </c>
      <c r="E18" s="169">
        <f t="shared" si="22"/>
        <v>10.538461538461538</v>
      </c>
      <c r="F18" s="169">
        <f t="shared" si="22"/>
        <v>10.161538461538461</v>
      </c>
      <c r="G18" s="169">
        <f t="shared" si="22"/>
        <v>7.5615384615384613</v>
      </c>
      <c r="H18" s="169">
        <f t="shared" si="22"/>
        <v>9.6230769230769226</v>
      </c>
      <c r="I18" s="169">
        <f t="shared" si="22"/>
        <v>9.615384615384615</v>
      </c>
      <c r="J18" s="169">
        <f t="shared" si="22"/>
        <v>9.407692307692308</v>
      </c>
      <c r="K18" s="169">
        <f t="shared" si="22"/>
        <v>10.76923076923077</v>
      </c>
      <c r="L18" s="169">
        <f t="shared" si="22"/>
        <v>10.476923076923075</v>
      </c>
      <c r="M18" s="169">
        <f t="shared" si="22"/>
        <v>9.4769230769230752</v>
      </c>
      <c r="N18" s="169">
        <f t="shared" si="22"/>
        <v>14.884615384615387</v>
      </c>
      <c r="O18" s="169">
        <f t="shared" si="22"/>
        <v>10.392307692307693</v>
      </c>
      <c r="U18" s="181" t="str">
        <f>$B$5</f>
        <v>Blackgang</v>
      </c>
      <c r="V18" s="181" t="s">
        <v>190</v>
      </c>
      <c r="W18" s="87">
        <f>D6</f>
        <v>5.9</v>
      </c>
      <c r="X18" s="108">
        <f>SQRT(((C66-$C$65)^2)+((D66-$D$65)^2))</f>
        <v>6.1022990260081258</v>
      </c>
      <c r="Y18" s="108">
        <f t="shared" si="16"/>
        <v>6.1312700000000007</v>
      </c>
      <c r="Z18" s="172">
        <f t="shared" si="5"/>
        <v>8.3931733403789024E-4</v>
      </c>
      <c r="AA18" s="172">
        <f t="shared" si="6"/>
        <v>37.238053402819723</v>
      </c>
      <c r="AD18" s="168" t="s">
        <v>419</v>
      </c>
      <c r="AE18" s="133">
        <f>AVERAGE(AE4:AE16)</f>
        <v>11.53295307692308</v>
      </c>
      <c r="AF18" s="133">
        <f t="shared" ref="AF18:AQ18" si="23">AVERAGE(AF4:AF16)</f>
        <v>11.081757692307693</v>
      </c>
      <c r="AG18" s="133">
        <f t="shared" si="23"/>
        <v>10.809484615384616</v>
      </c>
      <c r="AH18" s="133">
        <f t="shared" si="23"/>
        <v>10.428302307692308</v>
      </c>
      <c r="AI18" s="133">
        <f t="shared" si="23"/>
        <v>7.7989223076923082</v>
      </c>
      <c r="AJ18" s="133">
        <f t="shared" si="23"/>
        <v>9.8837561538461571</v>
      </c>
      <c r="AK18" s="133">
        <f t="shared" si="23"/>
        <v>9.875976923076923</v>
      </c>
      <c r="AL18" s="133">
        <f t="shared" si="23"/>
        <v>9.6659376923076952</v>
      </c>
      <c r="AM18" s="133">
        <f t="shared" si="23"/>
        <v>11.042861538461539</v>
      </c>
      <c r="AN18" s="133">
        <f t="shared" si="23"/>
        <v>10.747250769230771</v>
      </c>
      <c r="AO18" s="133">
        <f t="shared" si="23"/>
        <v>9.7359507692307687</v>
      </c>
      <c r="AP18" s="133">
        <f t="shared" si="23"/>
        <v>15.204750000000001</v>
      </c>
      <c r="AQ18" s="133">
        <f t="shared" si="23"/>
        <v>10.661679230769231</v>
      </c>
      <c r="AW18" s="75" t="str">
        <f>$B$5</f>
        <v>Blackgang</v>
      </c>
      <c r="AX18" s="106" t="str">
        <f t="shared" si="9"/>
        <v>Brightstone</v>
      </c>
      <c r="AY18" s="87">
        <f t="shared" si="10"/>
        <v>5.9</v>
      </c>
      <c r="AZ18" s="108">
        <f>SQRT(((AE65-$AE$64)^2)+((AF65-$AF$64)^2))</f>
        <v>6.2459532304158198</v>
      </c>
      <c r="BA18" s="108">
        <f t="shared" si="12"/>
        <v>6.2767299999999997</v>
      </c>
      <c r="BB18" s="83">
        <f t="shared" si="13"/>
        <v>9.4720954603769809E-4</v>
      </c>
      <c r="BC18" s="83">
        <f t="shared" si="14"/>
        <v>39.011931756541813</v>
      </c>
    </row>
    <row r="19" spans="2:55">
      <c r="B19" s="168" t="s">
        <v>160</v>
      </c>
      <c r="C19" s="169">
        <f>AVERAGE(C4:O16)</f>
        <v>10.382248520710055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U19" s="181" t="str">
        <f t="shared" ref="U19:U28" si="24">$B$5</f>
        <v>Blackgang</v>
      </c>
      <c r="V19" s="181" t="s">
        <v>191</v>
      </c>
      <c r="W19" s="87">
        <f t="shared" ref="W19:W28" si="25">D7</f>
        <v>13.7</v>
      </c>
      <c r="X19" s="108">
        <f t="shared" ref="X19:X28" si="26">SQRT(((C67-$C$65)^2)+((D67-$D$65)^2))</f>
        <v>13.549816801389888</v>
      </c>
      <c r="Y19" s="108">
        <f t="shared" si="16"/>
        <v>14.019410000000001</v>
      </c>
      <c r="Z19" s="172">
        <f t="shared" si="5"/>
        <v>0.22051777218087698</v>
      </c>
      <c r="AA19" s="172">
        <f t="shared" si="6"/>
        <v>183.59753535122769</v>
      </c>
      <c r="AD19" s="168" t="s">
        <v>160</v>
      </c>
      <c r="AE19" s="133">
        <f>AVERAGE(AE4:AQ16)</f>
        <v>10.651506390532543</v>
      </c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W19" s="75" t="str">
        <f t="shared" ref="AW19:AW28" si="27">$B$5</f>
        <v>Blackgang</v>
      </c>
      <c r="AX19" s="106" t="str">
        <f t="shared" si="9"/>
        <v>Cowes</v>
      </c>
      <c r="AY19" s="87">
        <f t="shared" si="10"/>
        <v>13.7</v>
      </c>
      <c r="AZ19" s="108">
        <f t="shared" ref="AZ19:AZ28" si="28">SQRT(((AE66-$AE$64)^2)+((AF66-$AF$64)^2))</f>
        <v>13.66570480675883</v>
      </c>
      <c r="BA19" s="108">
        <f t="shared" si="12"/>
        <v>14.362989999999998</v>
      </c>
      <c r="BB19" s="83">
        <f t="shared" si="13"/>
        <v>0.48620664071337283</v>
      </c>
      <c r="BC19" s="83">
        <f t="shared" si="14"/>
        <v>186.7514878654714</v>
      </c>
    </row>
    <row r="20" spans="2:55"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U20" s="181" t="str">
        <f t="shared" si="24"/>
        <v>Blackgang</v>
      </c>
      <c r="V20" s="181" t="s">
        <v>192</v>
      </c>
      <c r="W20" s="87">
        <f t="shared" si="25"/>
        <v>9</v>
      </c>
      <c r="X20" s="108">
        <f t="shared" si="26"/>
        <v>9.8186041452641231</v>
      </c>
      <c r="Y20" s="108">
        <f t="shared" si="16"/>
        <v>9.2663000000000011</v>
      </c>
      <c r="Z20" s="172">
        <f t="shared" si="5"/>
        <v>0.30503986887593232</v>
      </c>
      <c r="AA20" s="172">
        <f t="shared" si="6"/>
        <v>96.404987361397815</v>
      </c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W20" s="75" t="str">
        <f t="shared" si="27"/>
        <v>Blackgang</v>
      </c>
      <c r="AX20" s="106" t="str">
        <f t="shared" si="9"/>
        <v>Newport</v>
      </c>
      <c r="AY20" s="87">
        <f t="shared" si="10"/>
        <v>9</v>
      </c>
      <c r="AZ20" s="108">
        <f t="shared" si="28"/>
        <v>10.055798431453567</v>
      </c>
      <c r="BA20" s="108">
        <f t="shared" si="12"/>
        <v>9.490499999999999</v>
      </c>
      <c r="BB20" s="83">
        <f t="shared" si="13"/>
        <v>0.31956231660386464</v>
      </c>
      <c r="BC20" s="83">
        <f t="shared" si="14"/>
        <v>101.11908209402402</v>
      </c>
    </row>
    <row r="21" spans="2:55">
      <c r="U21" s="181" t="str">
        <f t="shared" si="24"/>
        <v>Blackgang</v>
      </c>
      <c r="V21" s="181" t="s">
        <v>193</v>
      </c>
      <c r="W21" s="87">
        <f t="shared" si="25"/>
        <v>12.4</v>
      </c>
      <c r="X21" s="108">
        <f t="shared" si="26"/>
        <v>12.238125008306307</v>
      </c>
      <c r="Y21" s="108">
        <f t="shared" si="16"/>
        <v>12.704720000000002</v>
      </c>
      <c r="Z21" s="172">
        <f t="shared" si="5"/>
        <v>0.21771088627363921</v>
      </c>
      <c r="AA21" s="172">
        <f t="shared" si="6"/>
        <v>149.77170371893226</v>
      </c>
      <c r="AW21" s="75" t="str">
        <f t="shared" si="27"/>
        <v>Blackgang</v>
      </c>
      <c r="AX21" s="106" t="str">
        <f t="shared" si="9"/>
        <v>Northwood</v>
      </c>
      <c r="AY21" s="87">
        <f t="shared" si="10"/>
        <v>12.4</v>
      </c>
      <c r="AZ21" s="108">
        <f t="shared" si="28"/>
        <v>12.393094872301365</v>
      </c>
      <c r="BA21" s="108">
        <f t="shared" si="12"/>
        <v>13.015279999999999</v>
      </c>
      <c r="BB21" s="83">
        <f t="shared" si="13"/>
        <v>0.38711433312936533</v>
      </c>
      <c r="BC21" s="83">
        <f t="shared" si="14"/>
        <v>153.5888005138624</v>
      </c>
    </row>
    <row r="22" spans="2:55" ht="13.5" thickBot="1">
      <c r="B22" s="77" t="s">
        <v>420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U22" s="181" t="str">
        <f t="shared" si="24"/>
        <v>Blackgang</v>
      </c>
      <c r="V22" s="181" t="s">
        <v>194</v>
      </c>
      <c r="W22" s="87">
        <f t="shared" si="25"/>
        <v>16.2</v>
      </c>
      <c r="X22" s="108">
        <f t="shared" si="26"/>
        <v>13.281755777218239</v>
      </c>
      <c r="Y22" s="108">
        <f t="shared" si="16"/>
        <v>16.54766</v>
      </c>
      <c r="Z22" s="172">
        <f t="shared" si="5"/>
        <v>10.666130392383744</v>
      </c>
      <c r="AA22" s="172">
        <f t="shared" si="6"/>
        <v>176.40503652567006</v>
      </c>
      <c r="AD22" s="77" t="s">
        <v>431</v>
      </c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W22" s="75" t="str">
        <f t="shared" si="27"/>
        <v>Blackgang</v>
      </c>
      <c r="AX22" s="106" t="str">
        <f t="shared" si="9"/>
        <v>Ryde</v>
      </c>
      <c r="AY22" s="87">
        <f t="shared" si="10"/>
        <v>16.2</v>
      </c>
      <c r="AZ22" s="108">
        <f t="shared" si="28"/>
        <v>15.099011781921647</v>
      </c>
      <c r="BA22" s="108">
        <f t="shared" si="12"/>
        <v>16.954739999999997</v>
      </c>
      <c r="BB22" s="83">
        <f t="shared" si="13"/>
        <v>3.4437272193722519</v>
      </c>
      <c r="BC22" s="83">
        <f t="shared" si="14"/>
        <v>227.9801567906087</v>
      </c>
    </row>
    <row r="23" spans="2:55" ht="13.5" thickTop="1">
      <c r="B23" s="75" t="s">
        <v>188</v>
      </c>
      <c r="C23" s="108">
        <f>0.5*(Q4+Q4-$C$19-C4)</f>
        <v>6.0627218934911271</v>
      </c>
      <c r="D23" s="108">
        <f>C24</f>
        <v>-2.2103550295857977</v>
      </c>
      <c r="E23" s="108">
        <f>C25</f>
        <v>-3.1949704142011806</v>
      </c>
      <c r="F23" s="108">
        <f>C26</f>
        <v>-1.6334319526627192</v>
      </c>
      <c r="G23" s="108">
        <f>C27</f>
        <v>-1.0834319526627194</v>
      </c>
      <c r="H23" s="108">
        <f>C28</f>
        <v>-1.7526627218934889</v>
      </c>
      <c r="I23" s="108">
        <f>C29</f>
        <v>1.3934911242603563</v>
      </c>
      <c r="J23" s="108">
        <f>C30</f>
        <v>2.7396449704142039</v>
      </c>
      <c r="K23" s="108">
        <f>C31</f>
        <v>3.770414201183435</v>
      </c>
      <c r="L23" s="108">
        <f>C32</f>
        <v>-2.8257396449704126</v>
      </c>
      <c r="M23" s="108">
        <f>C33</f>
        <v>1.8242603550295873</v>
      </c>
      <c r="N23" s="108">
        <f>C34</f>
        <v>-3.5718934911242561</v>
      </c>
      <c r="O23" s="108">
        <f>C35</f>
        <v>0.48195266272189574</v>
      </c>
      <c r="U23" s="181" t="str">
        <f t="shared" si="24"/>
        <v>Blackgang</v>
      </c>
      <c r="V23" s="181" t="s">
        <v>195</v>
      </c>
      <c r="W23" s="87">
        <f t="shared" si="25"/>
        <v>10.4</v>
      </c>
      <c r="X23" s="108">
        <f t="shared" si="26"/>
        <v>13.423806170790426</v>
      </c>
      <c r="Y23" s="108">
        <f t="shared" si="16"/>
        <v>10.682120000000001</v>
      </c>
      <c r="Z23" s="172">
        <f t="shared" si="5"/>
        <v>7.5168430591034632</v>
      </c>
      <c r="AA23" s="172">
        <f t="shared" si="6"/>
        <v>180.19857211095112</v>
      </c>
      <c r="AD23" s="75" t="s">
        <v>188</v>
      </c>
      <c r="AE23" s="108">
        <f>0.5*(AS4+AS4-$AE$19-AE4)</f>
        <v>6.207199881656809</v>
      </c>
      <c r="AF23" s="108">
        <f>AE24</f>
        <v>-2.2416628106508849</v>
      </c>
      <c r="AG23" s="108">
        <f>AE25</f>
        <v>-3.237404349112424</v>
      </c>
      <c r="AH23" s="108">
        <f>AE26</f>
        <v>-1.6582205029585788</v>
      </c>
      <c r="AI23" s="108">
        <f>AE27</f>
        <v>-1.102005502958578</v>
      </c>
      <c r="AJ23" s="108">
        <f>AE28</f>
        <v>-1.7787985798816539</v>
      </c>
      <c r="AK23" s="108">
        <f>AE29</f>
        <v>1.402906804733731</v>
      </c>
      <c r="AL23" s="108">
        <f>AE30</f>
        <v>2.7642721893491164</v>
      </c>
      <c r="AM23" s="108">
        <f>AE31</f>
        <v>3.8066891124260382</v>
      </c>
      <c r="AN23" s="108">
        <f>AE32</f>
        <v>-2.8640012721893449</v>
      </c>
      <c r="AO23" s="108">
        <f>AE33</f>
        <v>1.8385437278106518</v>
      </c>
      <c r="AP23" s="108">
        <f>AE34</f>
        <v>-3.6185866568047302</v>
      </c>
      <c r="AQ23" s="108">
        <f>AE35</f>
        <v>0.48106795857988249</v>
      </c>
      <c r="AW23" s="75" t="str">
        <f t="shared" si="27"/>
        <v>Blackgang</v>
      </c>
      <c r="AX23" s="106" t="str">
        <f t="shared" si="9"/>
        <v>Sandown</v>
      </c>
      <c r="AY23" s="87">
        <f t="shared" si="10"/>
        <v>10.4</v>
      </c>
      <c r="AZ23" s="108">
        <f t="shared" si="28"/>
        <v>13.672515917359684</v>
      </c>
      <c r="BA23" s="108">
        <f t="shared" si="12"/>
        <v>10.941879999999999</v>
      </c>
      <c r="BB23" s="83">
        <f t="shared" si="13"/>
        <v>7.4563725131747658</v>
      </c>
      <c r="BC23" s="83">
        <f t="shared" si="14"/>
        <v>186.93769151045393</v>
      </c>
    </row>
    <row r="24" spans="2:55">
      <c r="B24" s="75" t="s">
        <v>189</v>
      </c>
      <c r="C24" s="108">
        <f t="shared" ref="C24:C35" si="29">0.5*($Q$4+Q5-$C$19-C5)</f>
        <v>-2.2103550295857977</v>
      </c>
      <c r="D24" s="108">
        <f>0.5*(Q5+Q5-$C$19-D5)</f>
        <v>5.6165680473372808</v>
      </c>
      <c r="E24" s="108">
        <f>D25</f>
        <v>2.5319526627218956</v>
      </c>
      <c r="F24" s="108">
        <f>D26</f>
        <v>-1.5565088757396426</v>
      </c>
      <c r="G24" s="108">
        <f>D27</f>
        <v>-0.50650887573964365</v>
      </c>
      <c r="H24" s="108">
        <f>D28</f>
        <v>-1.1757396449704132</v>
      </c>
      <c r="I24" s="108">
        <f>D29</f>
        <v>-3.0795857988165656</v>
      </c>
      <c r="J24" s="108">
        <f>D30</f>
        <v>-0.28343195266272048</v>
      </c>
      <c r="K24" s="108">
        <f>D31</f>
        <v>-3.2026627218934882</v>
      </c>
      <c r="L24" s="108">
        <f>D32</f>
        <v>-9.8816568047334741E-2</v>
      </c>
      <c r="M24" s="108">
        <f>D33</f>
        <v>0.20118343195266508</v>
      </c>
      <c r="N24" s="108">
        <f>D34</f>
        <v>1.3550295857988193</v>
      </c>
      <c r="O24" s="108">
        <f>D35</f>
        <v>2.4088757396449738</v>
      </c>
      <c r="U24" s="181" t="str">
        <f t="shared" si="24"/>
        <v>Blackgang</v>
      </c>
      <c r="V24" s="181" t="s">
        <v>196</v>
      </c>
      <c r="W24" s="87">
        <f t="shared" si="25"/>
        <v>17.600000000000001</v>
      </c>
      <c r="X24" s="108">
        <f t="shared" si="26"/>
        <v>17.264476856239277</v>
      </c>
      <c r="Y24" s="108">
        <f t="shared" si="16"/>
        <v>17.963480000000004</v>
      </c>
      <c r="Z24" s="172">
        <f t="shared" si="5"/>
        <v>0.48860539498737976</v>
      </c>
      <c r="AA24" s="172">
        <f t="shared" si="6"/>
        <v>298.06216111962163</v>
      </c>
      <c r="AD24" s="75" t="s">
        <v>189</v>
      </c>
      <c r="AE24" s="108">
        <f t="shared" ref="AE24:AE35" si="30">0.5*($AS$4+AS5-$AE$19-AE5)</f>
        <v>-2.2416628106508849</v>
      </c>
      <c r="AF24" s="108">
        <f>0.5*(AS5+AS5-$AE$19-AF5)</f>
        <v>5.7560044970414221</v>
      </c>
      <c r="AG24" s="108">
        <f>AF25</f>
        <v>2.5542329585798829</v>
      </c>
      <c r="AH24" s="108">
        <f>AF26</f>
        <v>-1.5804281952662702</v>
      </c>
      <c r="AI24" s="108">
        <f>AF27</f>
        <v>-0.51856319526627104</v>
      </c>
      <c r="AJ24" s="108">
        <f>AF28</f>
        <v>-1.1953562721893469</v>
      </c>
      <c r="AK24" s="108">
        <f>AF29</f>
        <v>-3.1207158875739633</v>
      </c>
      <c r="AL24" s="108">
        <f>AF30</f>
        <v>-0.29296550295857671</v>
      </c>
      <c r="AM24" s="108">
        <f>AF31</f>
        <v>-3.2451835798816564</v>
      </c>
      <c r="AN24" s="108">
        <f>AF32</f>
        <v>-0.10626396449703979</v>
      </c>
      <c r="AO24" s="108">
        <f>AF33</f>
        <v>0.1971260355029596</v>
      </c>
      <c r="AP24" s="108">
        <f>AF34</f>
        <v>1.3640106508875753</v>
      </c>
      <c r="AQ24" s="108">
        <f>AF35</f>
        <v>2.4297652662721907</v>
      </c>
      <c r="AW24" s="75" t="str">
        <f t="shared" si="27"/>
        <v>Blackgang</v>
      </c>
      <c r="AX24" s="106" t="str">
        <f t="shared" si="9"/>
        <v>Seaview</v>
      </c>
      <c r="AY24" s="87">
        <f t="shared" si="10"/>
        <v>17.600000000000001</v>
      </c>
      <c r="AZ24" s="108">
        <f t="shared" si="28"/>
        <v>17.725700298664478</v>
      </c>
      <c r="BA24" s="108">
        <f t="shared" si="12"/>
        <v>18.406120000000001</v>
      </c>
      <c r="BB24" s="83">
        <f t="shared" si="13"/>
        <v>0.46297096996552306</v>
      </c>
      <c r="BC24" s="83">
        <f t="shared" si="14"/>
        <v>314.20045107807397</v>
      </c>
    </row>
    <row r="25" spans="2:55">
      <c r="B25" s="75" t="s">
        <v>190</v>
      </c>
      <c r="C25" s="108">
        <f t="shared" si="29"/>
        <v>-3.1949704142011806</v>
      </c>
      <c r="D25" s="108">
        <f t="shared" ref="D25:D35" si="31">0.5*($Q$5+Q6-$C$19-D6)</f>
        <v>2.5319526627218956</v>
      </c>
      <c r="E25" s="108">
        <f>0.5*(Q6+Q6-$C$19-E6)</f>
        <v>5.3473372781065107</v>
      </c>
      <c r="F25" s="108">
        <f>E26</f>
        <v>-0.94112426035502761</v>
      </c>
      <c r="G25" s="108">
        <f>E27</f>
        <v>0.30887573964497328</v>
      </c>
      <c r="H25" s="108">
        <f>E28</f>
        <v>-0.21035502958579588</v>
      </c>
      <c r="I25" s="108">
        <f>E29</f>
        <v>-1.9142011834319508</v>
      </c>
      <c r="J25" s="108">
        <f>E30</f>
        <v>-2.9180473372781037</v>
      </c>
      <c r="K25" s="108">
        <f>E31</f>
        <v>-3.2872781065088743</v>
      </c>
      <c r="L25" s="108">
        <f>E32</f>
        <v>2.8665680473372781</v>
      </c>
      <c r="M25" s="108">
        <f>E33</f>
        <v>-1.1834319526627217</v>
      </c>
      <c r="N25" s="108">
        <f>E34</f>
        <v>3.3704142011834355</v>
      </c>
      <c r="O25" s="108">
        <f>E35</f>
        <v>-0.77573964497041281</v>
      </c>
      <c r="U25" s="181" t="str">
        <f t="shared" si="24"/>
        <v>Blackgang</v>
      </c>
      <c r="V25" s="181" t="s">
        <v>197</v>
      </c>
      <c r="W25" s="87">
        <f t="shared" si="25"/>
        <v>11.1</v>
      </c>
      <c r="X25" s="108">
        <f t="shared" si="26"/>
        <v>10.547259648884713</v>
      </c>
      <c r="Y25" s="108">
        <f t="shared" si="16"/>
        <v>11.390030000000001</v>
      </c>
      <c r="Z25" s="172">
        <f t="shared" si="5"/>
        <v>0.71026186471898545</v>
      </c>
      <c r="AA25" s="172">
        <f t="shared" si="6"/>
        <v>111.24468610099169</v>
      </c>
      <c r="AD25" s="75" t="s">
        <v>190</v>
      </c>
      <c r="AE25" s="108">
        <f t="shared" si="30"/>
        <v>-3.237404349112424</v>
      </c>
      <c r="AF25" s="108">
        <f t="shared" ref="AF25:AF35" si="32">0.5*($AS$5+AS6-$AE$19-AF6)</f>
        <v>2.5542329585798829</v>
      </c>
      <c r="AG25" s="108">
        <f>0.5*(AS6+AS6-$AE$19-AG6)</f>
        <v>5.4837314201183442</v>
      </c>
      <c r="AH25" s="108">
        <f>AG26</f>
        <v>-0.95808973372780937</v>
      </c>
      <c r="AI25" s="108">
        <f>AG27</f>
        <v>0.30603526627219058</v>
      </c>
      <c r="AJ25" s="108">
        <f>AG28</f>
        <v>-0.21906281065088518</v>
      </c>
      <c r="AK25" s="108">
        <f>AG29</f>
        <v>-1.9421624260355026</v>
      </c>
      <c r="AL25" s="108">
        <f>AG30</f>
        <v>-2.9573520414201155</v>
      </c>
      <c r="AM25" s="108">
        <f>AG31</f>
        <v>-3.3307551183431947</v>
      </c>
      <c r="AN25" s="108">
        <f>AG32</f>
        <v>2.8926294970414212</v>
      </c>
      <c r="AO25" s="108">
        <f>AG33</f>
        <v>-1.2031355029585793</v>
      </c>
      <c r="AP25" s="108">
        <f>AG34</f>
        <v>3.4021691124260363</v>
      </c>
      <c r="AQ25" s="108">
        <f>AG35</f>
        <v>-0.79083627218934893</v>
      </c>
      <c r="AW25" s="75" t="str">
        <f t="shared" si="27"/>
        <v>Blackgang</v>
      </c>
      <c r="AX25" s="106" t="str">
        <f t="shared" si="9"/>
        <v>Shalfleet</v>
      </c>
      <c r="AY25" s="87">
        <f t="shared" si="10"/>
        <v>11.1</v>
      </c>
      <c r="AZ25" s="108">
        <f t="shared" si="28"/>
        <v>10.793668193595863</v>
      </c>
      <c r="BA25" s="108">
        <f t="shared" si="12"/>
        <v>11.66757</v>
      </c>
      <c r="BB25" s="83">
        <f t="shared" si="13"/>
        <v>0.76370436723641266</v>
      </c>
      <c r="BC25" s="83">
        <f t="shared" si="14"/>
        <v>116.50327307344298</v>
      </c>
    </row>
    <row r="26" spans="2:55">
      <c r="B26" s="75" t="s">
        <v>191</v>
      </c>
      <c r="C26" s="108">
        <f t="shared" si="29"/>
        <v>-1.6334319526627192</v>
      </c>
      <c r="D26" s="108">
        <f t="shared" si="31"/>
        <v>-1.5565088757396426</v>
      </c>
      <c r="E26" s="108">
        <f>0.5*($Q$6+Q7-$C$19-E7)</f>
        <v>-0.94112426035502761</v>
      </c>
      <c r="F26" s="108">
        <f>0.5*(Q7+Q7-$C$19-F7)</f>
        <v>4.9704142011834334</v>
      </c>
      <c r="G26" s="108">
        <f>F27</f>
        <v>1.1704142011834344</v>
      </c>
      <c r="H26" s="108">
        <f>F28</f>
        <v>3.9011834319526653</v>
      </c>
      <c r="I26" s="108">
        <f>F29</f>
        <v>-1.0026627218934898</v>
      </c>
      <c r="J26" s="108">
        <f>F30</f>
        <v>-2.4065088757396422</v>
      </c>
      <c r="K26" s="108">
        <f>F31</f>
        <v>0.47426035502958719</v>
      </c>
      <c r="L26" s="108">
        <f>F32</f>
        <v>1.3781065088757396</v>
      </c>
      <c r="M26" s="108">
        <f>F33</f>
        <v>-2.47189349112426</v>
      </c>
      <c r="N26" s="108">
        <f>F34</f>
        <v>0.28195266272189734</v>
      </c>
      <c r="O26" s="108">
        <f>F35</f>
        <v>-2.1642011834319517</v>
      </c>
      <c r="U26" s="181" t="str">
        <f t="shared" si="24"/>
        <v>Blackgang</v>
      </c>
      <c r="V26" s="181" t="s">
        <v>198</v>
      </c>
      <c r="W26" s="87">
        <f t="shared" si="25"/>
        <v>9.5</v>
      </c>
      <c r="X26" s="108">
        <f t="shared" si="26"/>
        <v>11.677498160100219</v>
      </c>
      <c r="Y26" s="108">
        <f t="shared" si="16"/>
        <v>9.7719500000000004</v>
      </c>
      <c r="Z26" s="172">
        <f t="shared" si="5"/>
        <v>3.6311137904613293</v>
      </c>
      <c r="AA26" s="172">
        <f t="shared" si="6"/>
        <v>136.363963279144</v>
      </c>
      <c r="AD26" s="75" t="s">
        <v>191</v>
      </c>
      <c r="AE26" s="108">
        <f t="shared" si="30"/>
        <v>-1.6582205029585788</v>
      </c>
      <c r="AF26" s="108">
        <f t="shared" si="32"/>
        <v>-1.5804281952662702</v>
      </c>
      <c r="AG26" s="108">
        <f t="shared" ref="AG26:AG35" si="33">0.5*($AS$6+AS7-$AE$19-AG7)</f>
        <v>-0.95808973372780937</v>
      </c>
      <c r="AH26" s="108">
        <f>0.5*(AS7+AS7-$AE$19-AH7)</f>
        <v>5.1025491124260363</v>
      </c>
      <c r="AI26" s="108">
        <f>AH27</f>
        <v>1.1773091124260353</v>
      </c>
      <c r="AJ26" s="108">
        <f>AH28</f>
        <v>3.9389360355029601</v>
      </c>
      <c r="AK26" s="108">
        <f>AH29</f>
        <v>-1.0203235798816559</v>
      </c>
      <c r="AL26" s="108">
        <f>AH30</f>
        <v>-2.4400331952662704</v>
      </c>
      <c r="AM26" s="108">
        <f>AH31</f>
        <v>0.4732887278106519</v>
      </c>
      <c r="AN26" s="108">
        <f>AH32</f>
        <v>1.3873483431952685</v>
      </c>
      <c r="AO26" s="108">
        <f>AH33</f>
        <v>-2.506156656804734</v>
      </c>
      <c r="AP26" s="108">
        <f>AH34</f>
        <v>0.2788079585798835</v>
      </c>
      <c r="AQ26" s="108">
        <f>AH35</f>
        <v>-2.194987426035504</v>
      </c>
      <c r="AW26" s="75" t="str">
        <f t="shared" si="27"/>
        <v>Blackgang</v>
      </c>
      <c r="AX26" s="106" t="str">
        <f t="shared" si="9"/>
        <v>Shanklin</v>
      </c>
      <c r="AY26" s="87">
        <f t="shared" si="10"/>
        <v>9.5</v>
      </c>
      <c r="AZ26" s="108">
        <f t="shared" si="28"/>
        <v>11.864519854252613</v>
      </c>
      <c r="BA26" s="108">
        <f t="shared" si="12"/>
        <v>10.008849999999999</v>
      </c>
      <c r="BB26" s="83">
        <f t="shared" si="13"/>
        <v>3.4435106079819184</v>
      </c>
      <c r="BC26" s="83">
        <f t="shared" si="14"/>
        <v>140.76683137195445</v>
      </c>
    </row>
    <row r="27" spans="2:55">
      <c r="B27" s="75" t="s">
        <v>192</v>
      </c>
      <c r="C27" s="108">
        <f t="shared" si="29"/>
        <v>-1.0834319526627194</v>
      </c>
      <c r="D27" s="108">
        <f t="shared" si="31"/>
        <v>-0.50650887573964365</v>
      </c>
      <c r="E27" s="108">
        <f t="shared" ref="E27:E35" si="34">0.5*($Q$6+Q8-$C$19-E8)</f>
        <v>0.30887573964497328</v>
      </c>
      <c r="F27" s="108">
        <f>0.5*($Q$7+Q8-$C$19-F8)</f>
        <v>1.1704142011834344</v>
      </c>
      <c r="G27" s="108">
        <f>0.5*(Q8+Q8-$C$19-G8)</f>
        <v>2.3704142011834337</v>
      </c>
      <c r="H27" s="108">
        <f>G28</f>
        <v>1.8011834319526643</v>
      </c>
      <c r="I27" s="108">
        <f>G29</f>
        <v>0.19733727810650947</v>
      </c>
      <c r="J27" s="108">
        <f>G30</f>
        <v>-1.1565088757396431</v>
      </c>
      <c r="K27" s="108">
        <f>G31</f>
        <v>-1.0257396449704119</v>
      </c>
      <c r="L27" s="108">
        <f>G32</f>
        <v>0.77810650887574084</v>
      </c>
      <c r="M27" s="108">
        <f>G33</f>
        <v>-1.2218934911242592</v>
      </c>
      <c r="N27" s="108">
        <f>G34</f>
        <v>-0.16804733727810373</v>
      </c>
      <c r="O27" s="108">
        <f>G35</f>
        <v>-1.4642011834319506</v>
      </c>
      <c r="U27" s="181" t="str">
        <f t="shared" si="24"/>
        <v>Blackgang</v>
      </c>
      <c r="V27" s="181" t="s">
        <v>199</v>
      </c>
      <c r="W27" s="87">
        <f t="shared" si="25"/>
        <v>12.6</v>
      </c>
      <c r="X27" s="108">
        <f t="shared" si="26"/>
        <v>10.835961872998372</v>
      </c>
      <c r="Y27" s="108">
        <f t="shared" ref="Y27:Y47" si="35">(W27*1.0113)+0.1646</f>
        <v>12.906980000000001</v>
      </c>
      <c r="Z27" s="172">
        <f t="shared" ref="Z27:Z47" si="36">(X27-Y27)^2</f>
        <v>4.2891160823693362</v>
      </c>
      <c r="AA27" s="172">
        <f t="shared" ref="AA27:AA47" si="37">X27^2</f>
        <v>117.41806971307437</v>
      </c>
      <c r="AD27" s="75" t="s">
        <v>192</v>
      </c>
      <c r="AE27" s="108">
        <f t="shared" si="30"/>
        <v>-1.102005502958578</v>
      </c>
      <c r="AF27" s="108">
        <f t="shared" si="32"/>
        <v>-0.51856319526627104</v>
      </c>
      <c r="AG27" s="108">
        <f t="shared" si="33"/>
        <v>0.30603526627219058</v>
      </c>
      <c r="AH27" s="108">
        <f>0.5*($AS$7+AS8-$AE$19-AH8)</f>
        <v>1.1773091124260353</v>
      </c>
      <c r="AI27" s="108">
        <f>0.5*(AS8+AS8-$AE$19-AI8)</f>
        <v>2.4731691124260369</v>
      </c>
      <c r="AJ27" s="108">
        <f>AI28</f>
        <v>1.8152060355029611</v>
      </c>
      <c r="AK27" s="108">
        <f>AI29</f>
        <v>0.19323642011834385</v>
      </c>
      <c r="AL27" s="108">
        <f>AI30</f>
        <v>-1.1759081952662713</v>
      </c>
      <c r="AM27" s="108">
        <f>AI31</f>
        <v>-1.0436612721893495</v>
      </c>
      <c r="AN27" s="108">
        <f>AI32</f>
        <v>0.78056834319526791</v>
      </c>
      <c r="AO27" s="108">
        <f>AI33</f>
        <v>-1.2420316568047332</v>
      </c>
      <c r="AP27" s="108">
        <f>AI34</f>
        <v>-0.1762770414201178</v>
      </c>
      <c r="AQ27" s="108">
        <f>AI35</f>
        <v>-1.4870774260355022</v>
      </c>
      <c r="AW27" s="75" t="str">
        <f t="shared" si="27"/>
        <v>Blackgang</v>
      </c>
      <c r="AX27" s="106" t="str">
        <f t="shared" si="9"/>
        <v>Totland</v>
      </c>
      <c r="AY27" s="87">
        <f t="shared" si="10"/>
        <v>12.6</v>
      </c>
      <c r="AZ27" s="108">
        <f t="shared" si="28"/>
        <v>11.064238315334503</v>
      </c>
      <c r="BA27" s="108">
        <f t="shared" si="12"/>
        <v>13.222619999999999</v>
      </c>
      <c r="BB27" s="83">
        <f t="shared" si="13"/>
        <v>4.6586114966994652</v>
      </c>
      <c r="BC27" s="83">
        <f t="shared" si="14"/>
        <v>122.41736949851608</v>
      </c>
    </row>
    <row r="28" spans="2:55">
      <c r="B28" s="75" t="s">
        <v>193</v>
      </c>
      <c r="C28" s="108">
        <f t="shared" si="29"/>
        <v>-1.7526627218934889</v>
      </c>
      <c r="D28" s="108">
        <f t="shared" si="31"/>
        <v>-1.1757396449704132</v>
      </c>
      <c r="E28" s="108">
        <f t="shared" si="34"/>
        <v>-0.21035502958579588</v>
      </c>
      <c r="F28" s="108">
        <f t="shared" ref="F28:F35" si="38">0.5*($Q$7+Q9-$C$19-F9)</f>
        <v>3.9011834319526653</v>
      </c>
      <c r="G28" s="108">
        <f>0.5*($Q$8+Q9-$C$19-G9)</f>
        <v>1.8011834319526643</v>
      </c>
      <c r="H28" s="108">
        <f>0.5*(Q9+Q9-$C$19-H9)</f>
        <v>4.431952662721895</v>
      </c>
      <c r="I28" s="108">
        <f>H29</f>
        <v>-0.37189349112425951</v>
      </c>
      <c r="J28" s="108">
        <f>H30</f>
        <v>-1.8257396449704126</v>
      </c>
      <c r="K28" s="108">
        <f>H31</f>
        <v>-1.5949704142011809</v>
      </c>
      <c r="L28" s="108">
        <f>H32</f>
        <v>0.8088757396449715</v>
      </c>
      <c r="M28" s="108">
        <f>H33</f>
        <v>-1.8411242603550289</v>
      </c>
      <c r="N28" s="108">
        <f>H34</f>
        <v>-8.7278106508873243E-2</v>
      </c>
      <c r="O28" s="108">
        <f>H35</f>
        <v>-2.0834319526627203</v>
      </c>
      <c r="U28" s="181" t="str">
        <f t="shared" si="24"/>
        <v>Blackgang</v>
      </c>
      <c r="V28" s="181" t="s">
        <v>200</v>
      </c>
      <c r="W28" s="87">
        <f t="shared" si="25"/>
        <v>6</v>
      </c>
      <c r="X28" s="108">
        <f t="shared" si="26"/>
        <v>8.6678180691420739</v>
      </c>
      <c r="Y28" s="108">
        <f t="shared" si="35"/>
        <v>6.2324000000000002</v>
      </c>
      <c r="Z28" s="172">
        <f t="shared" si="36"/>
        <v>5.9312611715037065</v>
      </c>
      <c r="AA28" s="172">
        <f t="shared" si="37"/>
        <v>75.131070079745825</v>
      </c>
      <c r="AD28" s="75" t="s">
        <v>193</v>
      </c>
      <c r="AE28" s="108">
        <f t="shared" si="30"/>
        <v>-1.7787985798816539</v>
      </c>
      <c r="AF28" s="108">
        <f t="shared" si="32"/>
        <v>-1.1953562721893469</v>
      </c>
      <c r="AG28" s="108">
        <f t="shared" si="33"/>
        <v>-0.21906281065088518</v>
      </c>
      <c r="AH28" s="108">
        <f t="shared" ref="AH28:AH35" si="39">0.5*($AS$7+AS9-$AE$19-AH9)</f>
        <v>3.9389360355029601</v>
      </c>
      <c r="AI28" s="108">
        <f>0.5*($AS$8+AS9-$AE$19-AI9)</f>
        <v>1.8152060355029611</v>
      </c>
      <c r="AJ28" s="108">
        <f>0.5*(AS9+AS9-$AE$19-AJ9)</f>
        <v>4.5580029585798858</v>
      </c>
      <c r="AK28" s="108">
        <f>AJ29</f>
        <v>-0.3824266568047312</v>
      </c>
      <c r="AL28" s="108">
        <f>AJ30</f>
        <v>-1.8527012721893472</v>
      </c>
      <c r="AM28" s="108">
        <f>AJ31</f>
        <v>-1.619324349112425</v>
      </c>
      <c r="AN28" s="108">
        <f>AJ32</f>
        <v>0.81168526627219251</v>
      </c>
      <c r="AO28" s="108">
        <f>AJ33</f>
        <v>-1.8682597337278093</v>
      </c>
      <c r="AP28" s="108">
        <f>AJ34</f>
        <v>-9.4595118343193896E-2</v>
      </c>
      <c r="AQ28" s="108">
        <f>AJ35</f>
        <v>-2.1133055029585783</v>
      </c>
      <c r="AW28" s="75" t="str">
        <f t="shared" si="27"/>
        <v>Blackgang</v>
      </c>
      <c r="AX28" s="106" t="str">
        <f t="shared" si="9"/>
        <v>Ventnor</v>
      </c>
      <c r="AY28" s="87">
        <f t="shared" si="10"/>
        <v>6</v>
      </c>
      <c r="AZ28" s="108">
        <f t="shared" si="28"/>
        <v>8.795592107521486</v>
      </c>
      <c r="BA28" s="108">
        <f t="shared" si="12"/>
        <v>6.3803999999999998</v>
      </c>
      <c r="BB28" s="83">
        <f t="shared" si="13"/>
        <v>5.8331529162340781</v>
      </c>
      <c r="BC28" s="83">
        <f t="shared" si="14"/>
        <v>77.362440521894257</v>
      </c>
    </row>
    <row r="29" spans="2:55">
      <c r="B29" s="75" t="s">
        <v>194</v>
      </c>
      <c r="C29" s="108">
        <f t="shared" si="29"/>
        <v>1.3934911242603563</v>
      </c>
      <c r="D29" s="108">
        <f t="shared" si="31"/>
        <v>-3.0795857988165656</v>
      </c>
      <c r="E29" s="108">
        <f t="shared" si="34"/>
        <v>-1.9142011834319508</v>
      </c>
      <c r="F29" s="108">
        <f t="shared" si="38"/>
        <v>-1.0026627218934898</v>
      </c>
      <c r="G29" s="108">
        <f t="shared" ref="G29:G35" si="40">0.5*($Q$8+Q10-$C$19-G10)</f>
        <v>0.19733727810650947</v>
      </c>
      <c r="H29" s="108">
        <f>0.5*($Q$9+Q10-$C$19-H10)</f>
        <v>-0.37189349112425951</v>
      </c>
      <c r="I29" s="108">
        <f>0.5*(Q10+R9-$C$19-I10)</f>
        <v>-0.38343195266272012</v>
      </c>
      <c r="J29" s="108">
        <f>I30</f>
        <v>1.1204142011834328</v>
      </c>
      <c r="K29" s="108">
        <f>I31</f>
        <v>3.8511834319526659</v>
      </c>
      <c r="L29" s="108">
        <f>I32</f>
        <v>-1.294970414201182</v>
      </c>
      <c r="M29" s="108">
        <f>I33</f>
        <v>5.5029585798818559E-2</v>
      </c>
      <c r="N29" s="108">
        <f>I34</f>
        <v>-2.2911242603550273</v>
      </c>
      <c r="O29" s="108">
        <f>I35</f>
        <v>-1.0872781065088732</v>
      </c>
      <c r="U29" s="181" t="str">
        <f>$B$6</f>
        <v>Brightstone</v>
      </c>
      <c r="V29" s="181" t="s">
        <v>191</v>
      </c>
      <c r="W29" s="87">
        <f>E7</f>
        <v>12.2</v>
      </c>
      <c r="X29" s="108">
        <f>SQRT(((C67-$C$66)^2)+((D67-$D$66)^2))</f>
        <v>10.710781906101875</v>
      </c>
      <c r="Y29" s="108">
        <f t="shared" si="35"/>
        <v>12.502460000000001</v>
      </c>
      <c r="Z29" s="172">
        <f t="shared" si="36"/>
        <v>3.2101103921544212</v>
      </c>
      <c r="AA29" s="172">
        <f t="shared" si="37"/>
        <v>114.72084904007932</v>
      </c>
      <c r="AD29" s="75" t="s">
        <v>194</v>
      </c>
      <c r="AE29" s="108">
        <f t="shared" si="30"/>
        <v>1.402906804733731</v>
      </c>
      <c r="AF29" s="108">
        <f t="shared" si="32"/>
        <v>-3.1207158875739633</v>
      </c>
      <c r="AG29" s="108">
        <f t="shared" si="33"/>
        <v>-1.9421624260355026</v>
      </c>
      <c r="AH29" s="108">
        <f t="shared" si="39"/>
        <v>-1.0203235798816559</v>
      </c>
      <c r="AI29" s="108">
        <f t="shared" ref="AI29:AI35" si="41">0.5*($AS$8+AS10-$AE$19-AI10)</f>
        <v>0.19323642011834385</v>
      </c>
      <c r="AJ29" s="108">
        <f>0.5*($AS$9+AS10-$AE$19-AJ10)</f>
        <v>-0.3824266568047312</v>
      </c>
      <c r="AK29" s="108">
        <f>0.5*(AS10+AS10-$AE$19-AK10)</f>
        <v>4.5502237278106517</v>
      </c>
      <c r="AL29" s="108">
        <f>AK30</f>
        <v>1.1267441124260382</v>
      </c>
      <c r="AM29" s="108">
        <f>AK31</f>
        <v>3.8883710355029604</v>
      </c>
      <c r="AN29" s="108">
        <f>AK32</f>
        <v>-1.3159343491124256</v>
      </c>
      <c r="AO29" s="108">
        <f>AK33</f>
        <v>4.9320650887573869E-2</v>
      </c>
      <c r="AP29" s="108">
        <f>AK34</f>
        <v>-2.3233447337278097</v>
      </c>
      <c r="AQ29" s="108">
        <f>AK35</f>
        <v>-1.1058951183431951</v>
      </c>
      <c r="AW29" s="75" t="str">
        <f>$B$6</f>
        <v>Brightstone</v>
      </c>
      <c r="AX29" s="106" t="str">
        <f t="shared" si="9"/>
        <v>Cowes</v>
      </c>
      <c r="AY29" s="87">
        <f t="shared" si="10"/>
        <v>12.2</v>
      </c>
      <c r="AZ29" s="108">
        <f>SQRT(((AE66-$AE$65)^2)+((AF66-$AF$65)^2))</f>
        <v>10.613965273941096</v>
      </c>
      <c r="BA29" s="108">
        <f t="shared" si="12"/>
        <v>12.807939999999999</v>
      </c>
      <c r="BB29" s="83">
        <f t="shared" si="13"/>
        <v>4.8135250985852371</v>
      </c>
      <c r="BC29" s="83">
        <f t="shared" si="14"/>
        <v>112.65625883642748</v>
      </c>
    </row>
    <row r="30" spans="2:55">
      <c r="B30" s="75" t="s">
        <v>195</v>
      </c>
      <c r="C30" s="108">
        <f t="shared" si="29"/>
        <v>2.7396449704142039</v>
      </c>
      <c r="D30" s="108">
        <f t="shared" si="31"/>
        <v>-0.28343195266272048</v>
      </c>
      <c r="E30" s="108">
        <f t="shared" si="34"/>
        <v>-2.9180473372781037</v>
      </c>
      <c r="F30" s="108">
        <f t="shared" si="38"/>
        <v>-2.4065088757396422</v>
      </c>
      <c r="G30" s="108">
        <f t="shared" si="40"/>
        <v>-1.1565088757396431</v>
      </c>
      <c r="H30" s="108">
        <f t="shared" ref="H30:H35" si="42">0.5*($Q$9+Q11-$C$19-H11)</f>
        <v>-1.8257396449704126</v>
      </c>
      <c r="I30" s="108">
        <f t="shared" ref="I30:I35" si="43">0.5*($Q$10+Q11-$C$19-I11)</f>
        <v>1.1204142011834328</v>
      </c>
      <c r="J30" s="108">
        <f>0.5*(Q11+Q11-$C$19-J11)</f>
        <v>4.2165680473372804</v>
      </c>
      <c r="K30" s="108">
        <f>J31</f>
        <v>1.5973372781065116</v>
      </c>
      <c r="L30" s="108">
        <f>J32</f>
        <v>-2.748816568047336</v>
      </c>
      <c r="M30" s="108">
        <f>J33</f>
        <v>3.1511834319526639</v>
      </c>
      <c r="N30" s="108">
        <f>J34</f>
        <v>-3.6449704142011798</v>
      </c>
      <c r="O30" s="108">
        <f>J35</f>
        <v>2.1588757396449729</v>
      </c>
      <c r="U30" s="181" t="str">
        <f t="shared" ref="U30:U38" si="44">$B$6</f>
        <v>Brightstone</v>
      </c>
      <c r="V30" s="181" t="s">
        <v>192</v>
      </c>
      <c r="W30" s="87">
        <f t="shared" ref="W30:W38" si="45">E8</f>
        <v>7.1</v>
      </c>
      <c r="X30" s="108">
        <f t="shared" ref="X30:X38" si="46">SQRT(((C68-$C$66)^2)+((D68-$D$66)^2))</f>
        <v>8.3759199252654177</v>
      </c>
      <c r="Y30" s="108">
        <f t="shared" si="35"/>
        <v>7.34483</v>
      </c>
      <c r="Z30" s="172">
        <f t="shared" si="36"/>
        <v>1.0631464339838448</v>
      </c>
      <c r="AA30" s="172">
        <f t="shared" si="37"/>
        <v>70.156034594458248</v>
      </c>
      <c r="AD30" s="75" t="s">
        <v>195</v>
      </c>
      <c r="AE30" s="108">
        <f t="shared" si="30"/>
        <v>2.7642721893491164</v>
      </c>
      <c r="AF30" s="108">
        <f t="shared" si="32"/>
        <v>-0.29296550295857671</v>
      </c>
      <c r="AG30" s="108">
        <f t="shared" si="33"/>
        <v>-2.9573520414201155</v>
      </c>
      <c r="AH30" s="108">
        <f t="shared" si="39"/>
        <v>-2.4400331952662704</v>
      </c>
      <c r="AI30" s="108">
        <f t="shared" si="41"/>
        <v>-1.1759081952662713</v>
      </c>
      <c r="AJ30" s="108">
        <f t="shared" ref="AJ30:AJ35" si="47">0.5*($AS$9+AS11-$AE$19-AJ11)</f>
        <v>-1.8527012721893472</v>
      </c>
      <c r="AK30" s="108">
        <f t="shared" ref="AK30:AK35" si="48">0.5*($AS$10+AS11-$AE$19-AK11)</f>
        <v>1.1267441124260382</v>
      </c>
      <c r="AL30" s="108">
        <f>0.5*(AS11+AS11-$AE$19-AL11)</f>
        <v>4.3401844970414238</v>
      </c>
      <c r="AM30" s="108">
        <f>AL31</f>
        <v>1.6090564201183453</v>
      </c>
      <c r="AN30" s="108">
        <f>AL32</f>
        <v>-2.786208964497038</v>
      </c>
      <c r="AO30" s="108">
        <f>AL33</f>
        <v>3.1804610355029594</v>
      </c>
      <c r="AP30" s="108">
        <f>AL34</f>
        <v>-3.6924893491124227</v>
      </c>
      <c r="AQ30" s="108">
        <f>AL35</f>
        <v>2.1769402662721906</v>
      </c>
      <c r="AW30" s="75" t="str">
        <f t="shared" ref="AW30:AW38" si="49">$B$6</f>
        <v>Brightstone</v>
      </c>
      <c r="AX30" s="106" t="str">
        <f t="shared" si="9"/>
        <v>Newport</v>
      </c>
      <c r="AY30" s="87">
        <f t="shared" si="10"/>
        <v>7.1</v>
      </c>
      <c r="AZ30" s="108">
        <f t="shared" ref="AZ30:AZ38" si="50">SQRT(((AE67-$AE$65)^2)+((AF67-$AF$65)^2))</f>
        <v>8.4368648182244073</v>
      </c>
      <c r="BA30" s="108">
        <f t="shared" si="12"/>
        <v>7.5207699999999988</v>
      </c>
      <c r="BB30" s="83">
        <f t="shared" si="13"/>
        <v>0.83922971597761187</v>
      </c>
      <c r="BC30" s="83">
        <f t="shared" si="14"/>
        <v>71.180687960992756</v>
      </c>
    </row>
    <row r="31" spans="2:55">
      <c r="B31" s="75" t="s">
        <v>196</v>
      </c>
      <c r="C31" s="108">
        <f t="shared" si="29"/>
        <v>3.770414201183435</v>
      </c>
      <c r="D31" s="108">
        <f t="shared" si="31"/>
        <v>-3.2026627218934882</v>
      </c>
      <c r="E31" s="108">
        <f t="shared" si="34"/>
        <v>-3.2872781065088743</v>
      </c>
      <c r="F31" s="108">
        <f t="shared" si="38"/>
        <v>0.47426035502958719</v>
      </c>
      <c r="G31" s="108">
        <f t="shared" si="40"/>
        <v>-1.0257396449704119</v>
      </c>
      <c r="H31" s="108">
        <f t="shared" si="42"/>
        <v>-1.5949704142011809</v>
      </c>
      <c r="I31" s="108">
        <f t="shared" si="43"/>
        <v>3.8511834319526659</v>
      </c>
      <c r="J31" s="108">
        <f>0.5*($Q$11+Q12-$C$19-J12)</f>
        <v>1.5973372781065116</v>
      </c>
      <c r="K31" s="108">
        <f>0.5*(Q12+Q12-$C$19-K12)</f>
        <v>5.5781065088757424</v>
      </c>
      <c r="L31" s="108">
        <f>K32</f>
        <v>-2.7180473372781053</v>
      </c>
      <c r="M31" s="108">
        <f>K33</f>
        <v>0.73195266272189485</v>
      </c>
      <c r="N31" s="108">
        <f>K34</f>
        <v>-3.5642011834319485</v>
      </c>
      <c r="O31" s="108">
        <f>K35</f>
        <v>-0.61035502958579624</v>
      </c>
      <c r="U31" s="181" t="str">
        <f t="shared" si="44"/>
        <v>Brightstone</v>
      </c>
      <c r="V31" s="181" t="s">
        <v>193</v>
      </c>
      <c r="W31" s="87">
        <f t="shared" si="45"/>
        <v>10.199999999999999</v>
      </c>
      <c r="X31" s="108">
        <f t="shared" si="46"/>
        <v>9.4732391650411323</v>
      </c>
      <c r="Y31" s="108">
        <f t="shared" si="35"/>
        <v>10.47986</v>
      </c>
      <c r="Z31" s="172">
        <f t="shared" si="36"/>
        <v>1.0132855053732888</v>
      </c>
      <c r="AA31" s="172">
        <f t="shared" si="37"/>
        <v>89.74226027806921</v>
      </c>
      <c r="AD31" s="75" t="s">
        <v>196</v>
      </c>
      <c r="AE31" s="108">
        <f t="shared" si="30"/>
        <v>3.8066891124260382</v>
      </c>
      <c r="AF31" s="108">
        <f t="shared" si="32"/>
        <v>-3.2451835798816564</v>
      </c>
      <c r="AG31" s="108">
        <f t="shared" si="33"/>
        <v>-3.3307551183431947</v>
      </c>
      <c r="AH31" s="108">
        <f t="shared" si="39"/>
        <v>0.4732887278106519</v>
      </c>
      <c r="AI31" s="108">
        <f t="shared" si="41"/>
        <v>-1.0436612721893495</v>
      </c>
      <c r="AJ31" s="108">
        <f t="shared" si="47"/>
        <v>-1.619324349112425</v>
      </c>
      <c r="AK31" s="108">
        <f t="shared" si="48"/>
        <v>3.8883710355029604</v>
      </c>
      <c r="AL31" s="108">
        <f>0.5*($AS$11+AS12-$AE$19-AL12)</f>
        <v>1.6090564201183453</v>
      </c>
      <c r="AM31" s="108">
        <f>0.5*(AS12+AS12-$AE$19-AM12)</f>
        <v>5.7171083431952674</v>
      </c>
      <c r="AN31" s="108">
        <f>AM32</f>
        <v>-2.7550920414201165</v>
      </c>
      <c r="AO31" s="108">
        <f>AM33</f>
        <v>0.73389295857988124</v>
      </c>
      <c r="AP31" s="108">
        <f>AM34</f>
        <v>-3.6108074260355014</v>
      </c>
      <c r="AQ31" s="108">
        <f>AM35</f>
        <v>-0.62358281065088761</v>
      </c>
      <c r="AW31" s="75" t="str">
        <f t="shared" si="49"/>
        <v>Brightstone</v>
      </c>
      <c r="AX31" s="106" t="str">
        <f t="shared" si="9"/>
        <v>Northwood</v>
      </c>
      <c r="AY31" s="87">
        <f t="shared" si="10"/>
        <v>10.199999999999999</v>
      </c>
      <c r="AZ31" s="108">
        <f t="shared" si="50"/>
        <v>9.4242046201374698</v>
      </c>
      <c r="BA31" s="108">
        <f t="shared" si="12"/>
        <v>10.734539999999999</v>
      </c>
      <c r="BB31" s="83">
        <f t="shared" si="13"/>
        <v>1.7169788077194788</v>
      </c>
      <c r="BC31" s="83">
        <f t="shared" si="14"/>
        <v>88.815632722220428</v>
      </c>
    </row>
    <row r="32" spans="2:55">
      <c r="B32" s="75" t="s">
        <v>197</v>
      </c>
      <c r="C32" s="108">
        <f t="shared" si="29"/>
        <v>-2.8257396449704126</v>
      </c>
      <c r="D32" s="108">
        <f t="shared" si="31"/>
        <v>-9.8816568047334741E-2</v>
      </c>
      <c r="E32" s="108">
        <f t="shared" si="34"/>
        <v>2.8665680473372781</v>
      </c>
      <c r="F32" s="108">
        <f t="shared" si="38"/>
        <v>1.3781065088757396</v>
      </c>
      <c r="G32" s="108">
        <f t="shared" si="40"/>
        <v>0.77810650887574084</v>
      </c>
      <c r="H32" s="108">
        <f t="shared" si="42"/>
        <v>0.8088757396449715</v>
      </c>
      <c r="I32" s="108">
        <f t="shared" si="43"/>
        <v>-1.294970414201182</v>
      </c>
      <c r="J32" s="108">
        <f>0.5*($Q$11+Q13-$C$19-J13)</f>
        <v>-2.748816568047336</v>
      </c>
      <c r="K32" s="108">
        <f>0.5*($Q$12+Q13-$C$19-K13)</f>
        <v>-2.7180473372781053</v>
      </c>
      <c r="L32" s="108">
        <f>0.5*(Q13+Q13-$C$19-L13)</f>
        <v>5.2857988165680476</v>
      </c>
      <c r="M32" s="108">
        <f>L33</f>
        <v>-2.7642011834319522</v>
      </c>
      <c r="N32" s="108">
        <f>L34</f>
        <v>4.3396449704142039</v>
      </c>
      <c r="O32" s="108">
        <f>L35</f>
        <v>-3.0065088757396436</v>
      </c>
      <c r="U32" s="75" t="str">
        <f t="shared" si="44"/>
        <v>Brightstone</v>
      </c>
      <c r="V32" s="75" t="s">
        <v>194</v>
      </c>
      <c r="W32" s="87">
        <f t="shared" si="45"/>
        <v>13.6</v>
      </c>
      <c r="X32" s="108">
        <f t="shared" si="46"/>
        <v>14.632556885644609</v>
      </c>
      <c r="Y32" s="108">
        <f t="shared" si="35"/>
        <v>13.918280000000001</v>
      </c>
      <c r="Z32" s="172">
        <f t="shared" si="36"/>
        <v>0.51019146936616078</v>
      </c>
      <c r="AA32" s="172">
        <f t="shared" si="37"/>
        <v>214.11172101162546</v>
      </c>
      <c r="AD32" s="75" t="s">
        <v>197</v>
      </c>
      <c r="AE32" s="108">
        <f t="shared" si="30"/>
        <v>-2.8640012721893449</v>
      </c>
      <c r="AF32" s="108">
        <f t="shared" si="32"/>
        <v>-0.10626396449703979</v>
      </c>
      <c r="AG32" s="108">
        <f t="shared" si="33"/>
        <v>2.8926294970414212</v>
      </c>
      <c r="AH32" s="108">
        <f t="shared" si="39"/>
        <v>1.3873483431952685</v>
      </c>
      <c r="AI32" s="108">
        <f t="shared" si="41"/>
        <v>0.78056834319526791</v>
      </c>
      <c r="AJ32" s="108">
        <f t="shared" si="47"/>
        <v>0.81168526627219251</v>
      </c>
      <c r="AK32" s="108">
        <f t="shared" si="48"/>
        <v>-1.3159343491124256</v>
      </c>
      <c r="AL32" s="108">
        <f>0.5*($AS$11+AS13-$AE$19-AL13)</f>
        <v>-2.786208964497038</v>
      </c>
      <c r="AM32" s="108">
        <f>0.5*($AS$12+AS13-$AE$19-AM13)</f>
        <v>-2.7550920414201165</v>
      </c>
      <c r="AN32" s="108">
        <f>0.5*(AS13+AS13-$AE$19-AN13)</f>
        <v>5.4214975739644995</v>
      </c>
      <c r="AO32" s="108">
        <f>AN33</f>
        <v>-2.8017674260355019</v>
      </c>
      <c r="AP32" s="108">
        <f>AN34</f>
        <v>4.3823521893491142</v>
      </c>
      <c r="AQ32" s="108">
        <f>AN35</f>
        <v>-3.0468131952662709</v>
      </c>
      <c r="AW32" s="75" t="str">
        <f t="shared" si="49"/>
        <v>Brightstone</v>
      </c>
      <c r="AX32" s="106" t="str">
        <f t="shared" si="9"/>
        <v>Ryde</v>
      </c>
      <c r="AY32" s="87">
        <f t="shared" si="10"/>
        <v>13.6</v>
      </c>
      <c r="AZ32" s="108">
        <f t="shared" si="50"/>
        <v>16.188590547407848</v>
      </c>
      <c r="BA32" s="108">
        <f t="shared" si="12"/>
        <v>14.259319999999999</v>
      </c>
      <c r="BB32" s="83">
        <f t="shared" si="13"/>
        <v>3.7220848450953832</v>
      </c>
      <c r="BC32" s="83">
        <f t="shared" si="14"/>
        <v>262.07046391162277</v>
      </c>
    </row>
    <row r="33" spans="2:55">
      <c r="B33" s="75" t="s">
        <v>198</v>
      </c>
      <c r="C33" s="108">
        <f t="shared" si="29"/>
        <v>1.8242603550295873</v>
      </c>
      <c r="D33" s="108">
        <f t="shared" si="31"/>
        <v>0.20118343195266508</v>
      </c>
      <c r="E33" s="108">
        <f t="shared" si="34"/>
        <v>-1.1834319526627217</v>
      </c>
      <c r="F33" s="108">
        <f t="shared" si="38"/>
        <v>-2.47189349112426</v>
      </c>
      <c r="G33" s="108">
        <f t="shared" si="40"/>
        <v>-1.2218934911242592</v>
      </c>
      <c r="H33" s="108">
        <f t="shared" si="42"/>
        <v>-1.8411242603550289</v>
      </c>
      <c r="I33" s="108">
        <f t="shared" si="43"/>
        <v>5.5029585798818559E-2</v>
      </c>
      <c r="J33" s="108">
        <f>0.5*($Q$11+Q14-$C$19-J14)</f>
        <v>3.1511834319526639</v>
      </c>
      <c r="K33" s="108">
        <f>0.5*($Q$12+Q14-$C$19-K14)</f>
        <v>0.73195266272189485</v>
      </c>
      <c r="L33" s="108">
        <f>0.5*($Q$13+Q14-$C$19-L14)</f>
        <v>-2.7642011834319522</v>
      </c>
      <c r="M33" s="108">
        <f>0.5*(Q14+Q14-$C$19-M14)</f>
        <v>4.2857988165680476</v>
      </c>
      <c r="N33" s="108">
        <f>M34</f>
        <v>-3.7103550295857959</v>
      </c>
      <c r="O33" s="108">
        <f>M35</f>
        <v>2.9434911242603565</v>
      </c>
      <c r="U33" s="75" t="str">
        <f t="shared" si="44"/>
        <v>Brightstone</v>
      </c>
      <c r="V33" s="75" t="s">
        <v>195</v>
      </c>
      <c r="W33" s="87">
        <f t="shared" si="45"/>
        <v>15.4</v>
      </c>
      <c r="X33" s="108">
        <f t="shared" si="46"/>
        <v>17.228521883092728</v>
      </c>
      <c r="Y33" s="108">
        <f t="shared" si="35"/>
        <v>15.738620000000001</v>
      </c>
      <c r="Z33" s="172">
        <f t="shared" si="36"/>
        <v>2.2198076212432554</v>
      </c>
      <c r="AA33" s="172">
        <f t="shared" si="37"/>
        <v>296.82196627620499</v>
      </c>
      <c r="AD33" s="75" t="s">
        <v>198</v>
      </c>
      <c r="AE33" s="108">
        <f t="shared" si="30"/>
        <v>1.8385437278106518</v>
      </c>
      <c r="AF33" s="108">
        <f t="shared" si="32"/>
        <v>0.1971260355029596</v>
      </c>
      <c r="AG33" s="108">
        <f t="shared" si="33"/>
        <v>-1.2031355029585793</v>
      </c>
      <c r="AH33" s="108">
        <f t="shared" si="39"/>
        <v>-2.506156656804734</v>
      </c>
      <c r="AI33" s="108">
        <f t="shared" si="41"/>
        <v>-1.2420316568047332</v>
      </c>
      <c r="AJ33" s="108">
        <f t="shared" si="47"/>
        <v>-1.8682597337278093</v>
      </c>
      <c r="AK33" s="108">
        <f t="shared" si="48"/>
        <v>4.9320650887573869E-2</v>
      </c>
      <c r="AL33" s="108">
        <f>0.5*($AS$11+AS14-$AE$19-AL14)</f>
        <v>3.1804610355029594</v>
      </c>
      <c r="AM33" s="108">
        <f>0.5*($AS$12+AS14-$AE$19-AM14)</f>
        <v>0.73389295857988124</v>
      </c>
      <c r="AN33" s="108">
        <f>0.5*($AS$13+AS14-$AE$19-AN14)</f>
        <v>-2.8017674260355019</v>
      </c>
      <c r="AO33" s="108">
        <f>0.5*(AS14+AS14-$AE$19-AO14)</f>
        <v>4.4101975739644974</v>
      </c>
      <c r="AP33" s="108">
        <f>AO34</f>
        <v>-3.7586128106508863</v>
      </c>
      <c r="AQ33" s="108">
        <f>AO35</f>
        <v>2.9704218047337281</v>
      </c>
      <c r="AW33" s="75" t="str">
        <f t="shared" si="49"/>
        <v>Brightstone</v>
      </c>
      <c r="AX33" s="106" t="str">
        <f t="shared" si="9"/>
        <v>Sandown</v>
      </c>
      <c r="AY33" s="87">
        <f t="shared" si="10"/>
        <v>15.4</v>
      </c>
      <c r="AZ33" s="108">
        <f t="shared" si="50"/>
        <v>17.4426618742913</v>
      </c>
      <c r="BA33" s="108">
        <f t="shared" si="12"/>
        <v>16.12538</v>
      </c>
      <c r="BB33" s="83">
        <f t="shared" si="13"/>
        <v>1.7352315363364008</v>
      </c>
      <c r="BC33" s="83">
        <f t="shared" si="14"/>
        <v>304.24645326085528</v>
      </c>
    </row>
    <row r="34" spans="2:55">
      <c r="B34" s="75" t="s">
        <v>199</v>
      </c>
      <c r="C34" s="108">
        <f t="shared" si="29"/>
        <v>-3.5718934911242561</v>
      </c>
      <c r="D34" s="108">
        <f t="shared" si="31"/>
        <v>1.3550295857988193</v>
      </c>
      <c r="E34" s="108">
        <f t="shared" si="34"/>
        <v>3.3704142011834355</v>
      </c>
      <c r="F34" s="108">
        <f t="shared" si="38"/>
        <v>0.28195266272189734</v>
      </c>
      <c r="G34" s="108">
        <f t="shared" si="40"/>
        <v>-0.16804733727810373</v>
      </c>
      <c r="H34" s="108">
        <f t="shared" si="42"/>
        <v>-8.7278106508873243E-2</v>
      </c>
      <c r="I34" s="108">
        <f t="shared" si="43"/>
        <v>-2.2911242603550273</v>
      </c>
      <c r="J34" s="108">
        <f>0.5*($Q$11+Q15-$C$19-J15)</f>
        <v>-3.6449704142011798</v>
      </c>
      <c r="K34" s="108">
        <f>0.5*($Q$12+Q15-$C$19-K15)</f>
        <v>-3.5642011834319485</v>
      </c>
      <c r="L34" s="108">
        <f>0.5*($Q$13+Q15-$C$19-L15)</f>
        <v>4.3396449704142039</v>
      </c>
      <c r="M34" s="108">
        <f>0.5*($Q$14+Q15-$C$19-M15)</f>
        <v>-3.7103550295857959</v>
      </c>
      <c r="N34" s="108">
        <f>0.5*(Q15+Q15-$C$19-N15)</f>
        <v>9.6934911242603583</v>
      </c>
      <c r="O34" s="108">
        <f>N35</f>
        <v>-2.0026627218934872</v>
      </c>
      <c r="U34" s="181" t="str">
        <f t="shared" si="44"/>
        <v>Brightstone</v>
      </c>
      <c r="V34" s="181" t="s">
        <v>196</v>
      </c>
      <c r="W34" s="87">
        <f t="shared" si="45"/>
        <v>17.5</v>
      </c>
      <c r="X34" s="108">
        <f t="shared" si="46"/>
        <v>19.09114566763126</v>
      </c>
      <c r="Y34" s="108">
        <f t="shared" si="35"/>
        <v>17.862350000000003</v>
      </c>
      <c r="Z34" s="172">
        <f t="shared" si="36"/>
        <v>1.5099387927893462</v>
      </c>
      <c r="AA34" s="172">
        <f t="shared" si="37"/>
        <v>364.47184290271582</v>
      </c>
      <c r="AD34" s="75" t="s">
        <v>199</v>
      </c>
      <c r="AE34" s="108">
        <f t="shared" si="30"/>
        <v>-3.6185866568047302</v>
      </c>
      <c r="AF34" s="108">
        <f t="shared" si="32"/>
        <v>1.3640106508875753</v>
      </c>
      <c r="AG34" s="108">
        <f t="shared" si="33"/>
        <v>3.4021691124260363</v>
      </c>
      <c r="AH34" s="108">
        <f t="shared" si="39"/>
        <v>0.2788079585798835</v>
      </c>
      <c r="AI34" s="108">
        <f t="shared" si="41"/>
        <v>-0.1762770414201178</v>
      </c>
      <c r="AJ34" s="108">
        <f t="shared" si="47"/>
        <v>-9.4595118343193896E-2</v>
      </c>
      <c r="AK34" s="108">
        <f t="shared" si="48"/>
        <v>-2.3233447337278097</v>
      </c>
      <c r="AL34" s="108">
        <f>0.5*($AS$11+AS15-$AE$19-AL15)</f>
        <v>-3.6924893491124227</v>
      </c>
      <c r="AM34" s="108">
        <f>0.5*($AS$12+AS15-$AE$19-AM15)</f>
        <v>-3.6108074260355014</v>
      </c>
      <c r="AN34" s="108">
        <f>0.5*($AS$13+AS15-$AE$19-AN15)</f>
        <v>4.3823521893491142</v>
      </c>
      <c r="AO34" s="108">
        <f>0.5*($AS$14+AS15-$AE$19-AO15)</f>
        <v>-3.7586128106508863</v>
      </c>
      <c r="AP34" s="108">
        <f>0.5*(AS15+AS15-$AE$19-AP15)</f>
        <v>9.8789968047337293</v>
      </c>
      <c r="AQ34" s="108">
        <f>AP35</f>
        <v>-2.0316235798816553</v>
      </c>
      <c r="AW34" s="75" t="str">
        <f t="shared" si="49"/>
        <v>Brightstone</v>
      </c>
      <c r="AX34" s="106" t="str">
        <f t="shared" si="9"/>
        <v>Seaview</v>
      </c>
      <c r="AY34" s="87">
        <f t="shared" si="10"/>
        <v>17.5</v>
      </c>
      <c r="AZ34" s="108">
        <f t="shared" si="50"/>
        <v>19.420097569174079</v>
      </c>
      <c r="BA34" s="108">
        <f t="shared" si="12"/>
        <v>18.30245</v>
      </c>
      <c r="BB34" s="83">
        <f t="shared" si="13"/>
        <v>1.2491360888807264</v>
      </c>
      <c r="BC34" s="83">
        <f t="shared" si="14"/>
        <v>377.14018959624099</v>
      </c>
    </row>
    <row r="35" spans="2:55">
      <c r="B35" s="85" t="s">
        <v>200</v>
      </c>
      <c r="C35" s="167">
        <f t="shared" si="29"/>
        <v>0.48195266272189574</v>
      </c>
      <c r="D35" s="167">
        <f t="shared" si="31"/>
        <v>2.4088757396449738</v>
      </c>
      <c r="E35" s="167">
        <f t="shared" si="34"/>
        <v>-0.77573964497041281</v>
      </c>
      <c r="F35" s="167">
        <f t="shared" si="38"/>
        <v>-2.1642011834319517</v>
      </c>
      <c r="G35" s="167">
        <f t="shared" si="40"/>
        <v>-1.4642011834319506</v>
      </c>
      <c r="H35" s="167">
        <f t="shared" si="42"/>
        <v>-2.0834319526627203</v>
      </c>
      <c r="I35" s="167">
        <f t="shared" si="43"/>
        <v>-1.0872781065088732</v>
      </c>
      <c r="J35" s="167">
        <f>0.5*($Q$11+Q16-$C$19-J16)</f>
        <v>2.1588757396449729</v>
      </c>
      <c r="K35" s="167">
        <f>0.5*($Q$12+Q16-$C$19-K16)</f>
        <v>-0.61035502958579624</v>
      </c>
      <c r="L35" s="167">
        <f>0.5*($Q$13+Q16-$C$19-L16)</f>
        <v>-3.0065088757396436</v>
      </c>
      <c r="M35" s="167">
        <f>0.5*($Q$14+Q16-$C$19-M16)</f>
        <v>2.9434911242603565</v>
      </c>
      <c r="N35" s="167">
        <f>0.5*($Q$15+Q16-$C$19-N16)</f>
        <v>-2.0026627218934872</v>
      </c>
      <c r="O35" s="167">
        <f>0.5*(Q16+Q16-$C$19-O16)</f>
        <v>5.2011834319526651</v>
      </c>
      <c r="U35" s="181" t="str">
        <f t="shared" si="44"/>
        <v>Brightstone</v>
      </c>
      <c r="V35" s="181" t="s">
        <v>197</v>
      </c>
      <c r="W35" s="87">
        <f t="shared" si="45"/>
        <v>4.9000000000000004</v>
      </c>
      <c r="X35" s="108">
        <f t="shared" si="46"/>
        <v>5.0866474434124509</v>
      </c>
      <c r="Y35" s="108">
        <f t="shared" si="35"/>
        <v>5.1199700000000012</v>
      </c>
      <c r="Z35" s="172">
        <f t="shared" si="36"/>
        <v>1.1103927775304948E-3</v>
      </c>
      <c r="AA35" s="172">
        <f t="shared" si="37"/>
        <v>25.873982213574422</v>
      </c>
      <c r="AD35" s="85" t="s">
        <v>200</v>
      </c>
      <c r="AE35" s="167">
        <f t="shared" si="30"/>
        <v>0.48106795857988249</v>
      </c>
      <c r="AF35" s="167">
        <f t="shared" si="32"/>
        <v>2.4297652662721907</v>
      </c>
      <c r="AG35" s="167">
        <f t="shared" si="33"/>
        <v>-0.79083627218934893</v>
      </c>
      <c r="AH35" s="167">
        <f t="shared" si="39"/>
        <v>-2.194987426035504</v>
      </c>
      <c r="AI35" s="167">
        <f t="shared" si="41"/>
        <v>-1.4870774260355022</v>
      </c>
      <c r="AJ35" s="167">
        <f t="shared" si="47"/>
        <v>-2.1133055029585783</v>
      </c>
      <c r="AK35" s="167">
        <f t="shared" si="48"/>
        <v>-1.1058951183431951</v>
      </c>
      <c r="AL35" s="167">
        <f>0.5*($AS$11+AS16-$AE$19-AL16)</f>
        <v>2.1769402662721906</v>
      </c>
      <c r="AM35" s="167">
        <f>0.5*($AS$12+AS16-$AE$19-AM16)</f>
        <v>-0.62358281065088761</v>
      </c>
      <c r="AN35" s="167">
        <f>0.5*($AS$13+AS16-$AE$19-AN16)</f>
        <v>-3.0468131952662709</v>
      </c>
      <c r="AO35" s="167">
        <f>0.5*($AS$14+AS16-$AE$19-AO16)</f>
        <v>2.9704218047337281</v>
      </c>
      <c r="AP35" s="167">
        <f>0.5*($AS$15+AS16-$AE$19-AP16)</f>
        <v>-2.0316235798816553</v>
      </c>
      <c r="AQ35" s="167">
        <f>0.5*(AS16+AS16-$AE$19-AQ16)</f>
        <v>5.3359260355029594</v>
      </c>
      <c r="AW35" s="75" t="str">
        <f t="shared" si="49"/>
        <v>Brightstone</v>
      </c>
      <c r="AX35" s="106" t="str">
        <f t="shared" si="9"/>
        <v>Shalfleet</v>
      </c>
      <c r="AY35" s="87">
        <f t="shared" si="10"/>
        <v>4.9000000000000004</v>
      </c>
      <c r="AZ35" s="108">
        <f t="shared" si="50"/>
        <v>5.1515044108238621</v>
      </c>
      <c r="BA35" s="108">
        <f t="shared" si="12"/>
        <v>5.24003</v>
      </c>
      <c r="BB35" s="83">
        <f t="shared" si="13"/>
        <v>7.8367799389823332E-3</v>
      </c>
      <c r="BC35" s="83">
        <f t="shared" si="14"/>
        <v>26.537997694737708</v>
      </c>
    </row>
    <row r="36" spans="2:55">
      <c r="U36" s="181" t="str">
        <f t="shared" si="44"/>
        <v>Brightstone</v>
      </c>
      <c r="V36" s="181" t="s">
        <v>198</v>
      </c>
      <c r="W36" s="87">
        <f t="shared" si="45"/>
        <v>12</v>
      </c>
      <c r="X36" s="108">
        <f t="shared" si="46"/>
        <v>15.93624308353802</v>
      </c>
      <c r="Y36" s="108">
        <f t="shared" si="35"/>
        <v>12.3002</v>
      </c>
      <c r="Z36" s="172">
        <f t="shared" si="36"/>
        <v>13.220809305344673</v>
      </c>
      <c r="AA36" s="172">
        <f t="shared" si="37"/>
        <v>253.96384361761338</v>
      </c>
      <c r="AW36" s="75" t="str">
        <f t="shared" si="49"/>
        <v>Brightstone</v>
      </c>
      <c r="AX36" s="106" t="str">
        <f t="shared" si="9"/>
        <v>Shanklin</v>
      </c>
      <c r="AY36" s="87">
        <f t="shared" si="10"/>
        <v>12</v>
      </c>
      <c r="AZ36" s="108">
        <f t="shared" si="50"/>
        <v>16.12712850513887</v>
      </c>
      <c r="BA36" s="108">
        <f t="shared" si="12"/>
        <v>12.6006</v>
      </c>
      <c r="BB36" s="83">
        <f t="shared" si="13"/>
        <v>12.436403297556994</v>
      </c>
      <c r="BC36" s="83">
        <f t="shared" si="14"/>
        <v>260.08427382126268</v>
      </c>
    </row>
    <row r="37" spans="2:55">
      <c r="U37" s="181" t="str">
        <f t="shared" si="44"/>
        <v>Brightstone</v>
      </c>
      <c r="V37" s="181" t="s">
        <v>199</v>
      </c>
      <c r="W37" s="87">
        <f t="shared" si="45"/>
        <v>8.3000000000000007</v>
      </c>
      <c r="X37" s="108">
        <f t="shared" si="46"/>
        <v>4.801203863829878</v>
      </c>
      <c r="Y37" s="108">
        <f t="shared" si="35"/>
        <v>8.5583900000000011</v>
      </c>
      <c r="Z37" s="172">
        <f t="shared" si="36"/>
        <v>14.116447661828978</v>
      </c>
      <c r="AA37" s="172">
        <f t="shared" si="37"/>
        <v>23.051558542054948</v>
      </c>
      <c r="AW37" s="75" t="str">
        <f t="shared" si="49"/>
        <v>Brightstone</v>
      </c>
      <c r="AX37" s="106" t="str">
        <f t="shared" si="9"/>
        <v>Totland</v>
      </c>
      <c r="AY37" s="87">
        <f t="shared" si="10"/>
        <v>8.3000000000000007</v>
      </c>
      <c r="AZ37" s="108">
        <f t="shared" si="50"/>
        <v>4.8971857038052047</v>
      </c>
      <c r="BA37" s="108">
        <f t="shared" si="12"/>
        <v>8.7648100000000007</v>
      </c>
      <c r="BB37" s="83">
        <f t="shared" si="13"/>
        <v>14.95851769651629</v>
      </c>
      <c r="BC37" s="83">
        <f t="shared" si="14"/>
        <v>23.982427817554079</v>
      </c>
    </row>
    <row r="38" spans="2:55" ht="13.5" thickBot="1">
      <c r="B38" s="77" t="s">
        <v>421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U38" s="181" t="str">
        <f t="shared" si="44"/>
        <v>Brightstone</v>
      </c>
      <c r="V38" s="181" t="s">
        <v>200</v>
      </c>
      <c r="W38" s="87">
        <f t="shared" si="45"/>
        <v>12.1</v>
      </c>
      <c r="X38" s="108">
        <f t="shared" si="46"/>
        <v>13.710770398195859</v>
      </c>
      <c r="Y38" s="108">
        <f t="shared" si="35"/>
        <v>12.401330000000002</v>
      </c>
      <c r="Z38" s="172">
        <f t="shared" si="36"/>
        <v>1.7146341564273249</v>
      </c>
      <c r="AA38" s="172">
        <f t="shared" si="37"/>
        <v>187.98522491204383</v>
      </c>
      <c r="AD38" s="77" t="s">
        <v>432</v>
      </c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W38" s="75" t="str">
        <f t="shared" si="49"/>
        <v>Brightstone</v>
      </c>
      <c r="AX38" s="106" t="str">
        <f t="shared" si="9"/>
        <v>Ventnor</v>
      </c>
      <c r="AY38" s="87">
        <f t="shared" si="10"/>
        <v>12.1</v>
      </c>
      <c r="AZ38" s="108">
        <f t="shared" si="50"/>
        <v>13.893195690582171</v>
      </c>
      <c r="BA38" s="108">
        <f t="shared" si="12"/>
        <v>12.704269999999999</v>
      </c>
      <c r="BB38" s="83">
        <f t="shared" si="13"/>
        <v>1.4135442977262949</v>
      </c>
      <c r="BC38" s="83">
        <f t="shared" si="14"/>
        <v>193.02088649681102</v>
      </c>
    </row>
    <row r="39" spans="2:55" ht="13.5" thickTop="1">
      <c r="C39" s="75" t="s">
        <v>422</v>
      </c>
      <c r="U39" s="181" t="str">
        <f>$B$7</f>
        <v>Cowes</v>
      </c>
      <c r="V39" s="181" t="s">
        <v>192</v>
      </c>
      <c r="W39" s="87">
        <f>F8</f>
        <v>5</v>
      </c>
      <c r="X39" s="108">
        <f>SQRT(((C68-$C$67)^2)+((D68-$D$67)^2))</f>
        <v>4.057509897596475</v>
      </c>
      <c r="Y39" s="108">
        <f t="shared" si="35"/>
        <v>5.2211000000000007</v>
      </c>
      <c r="Z39" s="172">
        <f t="shared" si="36"/>
        <v>1.3539419264114476</v>
      </c>
      <c r="AA39" s="172">
        <f t="shared" si="37"/>
        <v>16.463386569093355</v>
      </c>
      <c r="AE39" s="75" t="s">
        <v>422</v>
      </c>
      <c r="AW39" s="75" t="str">
        <f>$B$7</f>
        <v>Cowes</v>
      </c>
      <c r="AX39" s="106" t="str">
        <f t="shared" si="9"/>
        <v>Newport</v>
      </c>
      <c r="AY39" s="87">
        <f t="shared" si="10"/>
        <v>5</v>
      </c>
      <c r="AZ39" s="108">
        <f>SQRT(((AE67-$AE$66)^2)+((AF67-$AF$66)^2))</f>
        <v>3.9805016690056787</v>
      </c>
      <c r="BA39" s="108">
        <f t="shared" si="12"/>
        <v>5.3436999999999992</v>
      </c>
      <c r="BB39" s="83">
        <f t="shared" si="13"/>
        <v>1.858309689625701</v>
      </c>
      <c r="BC39" s="83">
        <f t="shared" si="14"/>
        <v>15.844393536956995</v>
      </c>
    </row>
    <row r="40" spans="2:55">
      <c r="B40" s="85"/>
      <c r="C40" s="90">
        <v>1</v>
      </c>
      <c r="D40" s="90">
        <v>2</v>
      </c>
      <c r="E40" s="90">
        <v>3</v>
      </c>
      <c r="F40" s="90">
        <v>4</v>
      </c>
      <c r="G40" s="90">
        <v>5</v>
      </c>
      <c r="H40" s="90">
        <v>6</v>
      </c>
      <c r="I40" s="90">
        <v>7</v>
      </c>
      <c r="J40" s="90">
        <v>8</v>
      </c>
      <c r="K40" s="90">
        <v>9</v>
      </c>
      <c r="L40" s="90">
        <v>10</v>
      </c>
      <c r="M40" s="90">
        <v>11</v>
      </c>
      <c r="N40" s="90">
        <v>12</v>
      </c>
      <c r="O40" s="90">
        <v>13</v>
      </c>
      <c r="U40" s="181" t="str">
        <f t="shared" ref="U40:U47" si="51">$B$7</f>
        <v>Cowes</v>
      </c>
      <c r="V40" s="181" t="s">
        <v>193</v>
      </c>
      <c r="W40" s="87">
        <f t="shared" ref="W40:W47" si="52">F9</f>
        <v>1.6</v>
      </c>
      <c r="X40" s="108">
        <f t="shared" ref="X40:X47" si="53">SQRT(((C69-$C$67)^2)+((D69-$D$67)^2))</f>
        <v>1.3215421757846291</v>
      </c>
      <c r="Y40" s="108">
        <f t="shared" si="35"/>
        <v>1.7826800000000003</v>
      </c>
      <c r="Z40" s="172">
        <f t="shared" si="36"/>
        <v>0.21264809292208658</v>
      </c>
      <c r="AA40" s="172">
        <f t="shared" si="37"/>
        <v>1.7464737223775715</v>
      </c>
      <c r="AD40" s="85"/>
      <c r="AE40" s="90">
        <v>1</v>
      </c>
      <c r="AF40" s="90">
        <v>2</v>
      </c>
      <c r="AG40" s="90">
        <v>3</v>
      </c>
      <c r="AH40" s="90">
        <v>4</v>
      </c>
      <c r="AI40" s="90">
        <v>5</v>
      </c>
      <c r="AJ40" s="90">
        <v>6</v>
      </c>
      <c r="AK40" s="90">
        <v>7</v>
      </c>
      <c r="AL40" s="90">
        <v>8</v>
      </c>
      <c r="AM40" s="90">
        <v>9</v>
      </c>
      <c r="AN40" s="90">
        <v>10</v>
      </c>
      <c r="AO40" s="90">
        <v>11</v>
      </c>
      <c r="AP40" s="90">
        <v>12</v>
      </c>
      <c r="AQ40" s="90">
        <v>13</v>
      </c>
      <c r="AW40" s="75" t="str">
        <f t="shared" ref="AW40:AW47" si="54">$B$7</f>
        <v>Cowes</v>
      </c>
      <c r="AX40" s="106" t="str">
        <f t="shared" si="9"/>
        <v>Northwood</v>
      </c>
      <c r="AY40" s="87">
        <f t="shared" si="10"/>
        <v>1.6</v>
      </c>
      <c r="AZ40" s="108">
        <f t="shared" ref="AZ40:AZ47" si="55">SQRT(((AE68-$AE$66)^2)+((AF68-$AF$66)^2))</f>
        <v>1.279914200589132</v>
      </c>
      <c r="BA40" s="108">
        <f t="shared" si="12"/>
        <v>1.8189199999999999</v>
      </c>
      <c r="BB40" s="83">
        <f t="shared" si="13"/>
        <v>0.29052725179854877</v>
      </c>
      <c r="BC40" s="83">
        <f t="shared" si="14"/>
        <v>1.6381803608697167</v>
      </c>
    </row>
    <row r="41" spans="2:55">
      <c r="B41" s="75" t="s">
        <v>188</v>
      </c>
      <c r="C41" s="108">
        <v>-0.36011712427388598</v>
      </c>
      <c r="D41" s="108">
        <v>9.4446482583769101E-2</v>
      </c>
      <c r="E41" s="108">
        <v>-0.28236802577264702</v>
      </c>
      <c r="F41" s="108">
        <v>-5.1196742250125597E-2</v>
      </c>
      <c r="G41" s="108">
        <v>-9.90653934069778E-2</v>
      </c>
      <c r="H41" s="108">
        <v>0.124711003627461</v>
      </c>
      <c r="I41" s="108">
        <v>0.77846608728315903</v>
      </c>
      <c r="J41" s="108">
        <v>-0.21327466885514501</v>
      </c>
      <c r="K41" s="108">
        <v>0.263195866209889</v>
      </c>
      <c r="L41" s="108">
        <v>-0.130987771680427</v>
      </c>
      <c r="M41" s="108">
        <v>2.6630917287588901E-2</v>
      </c>
      <c r="N41" s="108">
        <v>-7.8298017145371004E-2</v>
      </c>
      <c r="O41" s="108">
        <v>9.4396741206282206E-2</v>
      </c>
      <c r="U41" s="181" t="str">
        <f t="shared" si="51"/>
        <v>Cowes</v>
      </c>
      <c r="V41" s="181" t="s">
        <v>194</v>
      </c>
      <c r="W41" s="87">
        <f t="shared" si="52"/>
        <v>11.4</v>
      </c>
      <c r="X41" s="108">
        <f t="shared" si="53"/>
        <v>9.1986207108074041</v>
      </c>
      <c r="Y41" s="108">
        <f t="shared" si="35"/>
        <v>11.693420000000001</v>
      </c>
      <c r="Z41" s="172">
        <f t="shared" si="36"/>
        <v>6.2240234933558893</v>
      </c>
      <c r="AA41" s="172">
        <f t="shared" si="37"/>
        <v>84.614622981294914</v>
      </c>
      <c r="AD41" s="75" t="s">
        <v>188</v>
      </c>
      <c r="AE41" s="108">
        <v>0.35809406323195803</v>
      </c>
      <c r="AF41" s="108">
        <v>-7.9804008230595594E-2</v>
      </c>
      <c r="AG41" s="108">
        <v>-0.230630470587078</v>
      </c>
      <c r="AH41" s="108">
        <v>-0.27986872670380802</v>
      </c>
      <c r="AI41" s="108">
        <v>0.47773058816291503</v>
      </c>
      <c r="AJ41" s="108">
        <v>-0.44050186111879402</v>
      </c>
      <c r="AK41" s="108">
        <v>0.301697731767337</v>
      </c>
      <c r="AL41" s="108">
        <v>0.208031093375075</v>
      </c>
      <c r="AM41" s="108">
        <v>9.7560925080748803E-2</v>
      </c>
      <c r="AN41" s="108">
        <v>-0.213218796721305</v>
      </c>
      <c r="AO41" s="108">
        <v>-0.18214794076641</v>
      </c>
      <c r="AP41" s="108">
        <v>0.11083994972071499</v>
      </c>
      <c r="AQ41" s="108">
        <v>-0.277258771116279</v>
      </c>
      <c r="AW41" s="75" t="str">
        <f t="shared" si="54"/>
        <v>Cowes</v>
      </c>
      <c r="AX41" s="106" t="str">
        <f t="shared" si="9"/>
        <v>Ryde</v>
      </c>
      <c r="AY41" s="87">
        <f t="shared" si="10"/>
        <v>11.4</v>
      </c>
      <c r="AZ41" s="108">
        <f t="shared" si="55"/>
        <v>9.9300370307379353</v>
      </c>
      <c r="BA41" s="108">
        <f t="shared" si="12"/>
        <v>11.978579999999999</v>
      </c>
      <c r="BB41" s="83">
        <f t="shared" si="13"/>
        <v>4.1965282969130326</v>
      </c>
      <c r="BC41" s="83">
        <f t="shared" si="14"/>
        <v>98.60563543182667</v>
      </c>
    </row>
    <row r="42" spans="2:55">
      <c r="B42" s="75" t="s">
        <v>189</v>
      </c>
      <c r="C42" s="108">
        <v>0.13530549774586101</v>
      </c>
      <c r="D42" s="108">
        <v>-0.48226900298374897</v>
      </c>
      <c r="E42" s="108">
        <v>0.224543502586011</v>
      </c>
      <c r="F42" s="108">
        <v>-0.115723876831422</v>
      </c>
      <c r="G42" s="108">
        <v>0.36464530693845398</v>
      </c>
      <c r="H42" s="108">
        <v>0.199010006651438</v>
      </c>
      <c r="I42" s="108">
        <v>0.38521165865606699</v>
      </c>
      <c r="J42" s="108">
        <v>4.2177772309724797E-2</v>
      </c>
      <c r="K42" s="108">
        <v>-0.45679738689234101</v>
      </c>
      <c r="L42" s="108">
        <v>0.202885732705094</v>
      </c>
      <c r="M42" s="108">
        <v>0.18613179665910801</v>
      </c>
      <c r="N42" s="108">
        <v>-0.269257092334165</v>
      </c>
      <c r="O42" s="108">
        <v>-7.4754003574059799E-2</v>
      </c>
      <c r="U42" s="181" t="str">
        <f t="shared" si="51"/>
        <v>Cowes</v>
      </c>
      <c r="V42" s="181" t="s">
        <v>195</v>
      </c>
      <c r="W42" s="87">
        <f t="shared" si="52"/>
        <v>14</v>
      </c>
      <c r="X42" s="108">
        <f t="shared" si="53"/>
        <v>15.259059148367104</v>
      </c>
      <c r="Y42" s="108">
        <f t="shared" si="35"/>
        <v>14.322800000000001</v>
      </c>
      <c r="Z42" s="172">
        <f t="shared" si="36"/>
        <v>0.87658119290109338</v>
      </c>
      <c r="AA42" s="172">
        <f t="shared" si="37"/>
        <v>232.8388860933658</v>
      </c>
      <c r="AD42" s="75" t="s">
        <v>189</v>
      </c>
      <c r="AE42" s="108">
        <v>-0.14002395081941599</v>
      </c>
      <c r="AF42" s="108">
        <v>0.475042175270735</v>
      </c>
      <c r="AG42" s="108">
        <v>0.189829802826464</v>
      </c>
      <c r="AH42" s="108">
        <v>-2.5150004223587701E-2</v>
      </c>
      <c r="AI42" s="108">
        <v>-0.248740156897443</v>
      </c>
      <c r="AJ42" s="108">
        <v>-0.348228926000618</v>
      </c>
      <c r="AK42" s="108">
        <v>0.31856873863514101</v>
      </c>
      <c r="AL42" s="108">
        <v>-0.46710046496741597</v>
      </c>
      <c r="AM42" s="108">
        <v>-0.21001515196870399</v>
      </c>
      <c r="AN42" s="108">
        <v>2.2906598236333901E-2</v>
      </c>
      <c r="AO42" s="108">
        <v>-3.1349961713090103E-2</v>
      </c>
      <c r="AP42" s="108">
        <v>0.302914958398458</v>
      </c>
      <c r="AQ42" s="108">
        <v>-0.27907891997062201</v>
      </c>
      <c r="AW42" s="75" t="str">
        <f t="shared" si="54"/>
        <v>Cowes</v>
      </c>
      <c r="AX42" s="106" t="str">
        <f t="shared" si="9"/>
        <v>Sandown</v>
      </c>
      <c r="AY42" s="87">
        <f t="shared" si="10"/>
        <v>14</v>
      </c>
      <c r="AZ42" s="108">
        <f t="shared" si="55"/>
        <v>15.441517062946602</v>
      </c>
      <c r="BA42" s="108">
        <f t="shared" si="12"/>
        <v>14.673999999999999</v>
      </c>
      <c r="BB42" s="83">
        <f t="shared" si="13"/>
        <v>0.5890824419141788</v>
      </c>
      <c r="BC42" s="83">
        <f t="shared" si="14"/>
        <v>238.44044920527105</v>
      </c>
    </row>
    <row r="43" spans="2:55">
      <c r="B43" s="75" t="s">
        <v>190</v>
      </c>
      <c r="C43" s="108">
        <v>0.31252245279935398</v>
      </c>
      <c r="D43" s="108">
        <v>-0.234033157324196</v>
      </c>
      <c r="E43" s="108">
        <v>-7.0364727689370604E-2</v>
      </c>
      <c r="F43" s="108">
        <v>0.52150596498243995</v>
      </c>
      <c r="G43" s="108">
        <v>0.322581069056185</v>
      </c>
      <c r="H43" s="108">
        <v>5.4363800532315001E-2</v>
      </c>
      <c r="I43" s="108">
        <v>1.7359940972041701E-2</v>
      </c>
      <c r="J43" s="108">
        <v>-0.14345189952496201</v>
      </c>
      <c r="K43" s="108">
        <v>0.37862674130101498</v>
      </c>
      <c r="L43" s="108">
        <v>0.15512229219788501</v>
      </c>
      <c r="M43" s="108">
        <v>-0.132053816639395</v>
      </c>
      <c r="N43" s="108">
        <v>1.5144133088685599E-2</v>
      </c>
      <c r="O43" s="108">
        <v>0.50759832287298201</v>
      </c>
      <c r="U43" s="181" t="str">
        <f t="shared" si="51"/>
        <v>Cowes</v>
      </c>
      <c r="V43" s="181" t="s">
        <v>196</v>
      </c>
      <c r="W43" s="87">
        <f t="shared" si="52"/>
        <v>9.6</v>
      </c>
      <c r="X43" s="108">
        <f t="shared" si="53"/>
        <v>12.955432020494806</v>
      </c>
      <c r="Y43" s="108">
        <f t="shared" si="35"/>
        <v>9.8730799999999999</v>
      </c>
      <c r="Z43" s="172">
        <f t="shared" si="36"/>
        <v>9.5008939782484134</v>
      </c>
      <c r="AA43" s="172">
        <f t="shared" si="37"/>
        <v>167.84321883766214</v>
      </c>
      <c r="AD43" s="75" t="s">
        <v>190</v>
      </c>
      <c r="AE43" s="108">
        <v>-0.31176070193829403</v>
      </c>
      <c r="AF43" s="108">
        <v>0.21670310650305899</v>
      </c>
      <c r="AG43" s="108">
        <v>-0.106336635364414</v>
      </c>
      <c r="AH43" s="108">
        <v>0.491713872621245</v>
      </c>
      <c r="AI43" s="108">
        <v>8.5568782177606797E-3</v>
      </c>
      <c r="AJ43" s="108">
        <v>-0.37098832327933101</v>
      </c>
      <c r="AK43" s="108">
        <v>-0.161228961167308</v>
      </c>
      <c r="AL43" s="108">
        <v>0.36508070443818103</v>
      </c>
      <c r="AM43" s="108">
        <v>-0.16483661085561499</v>
      </c>
      <c r="AN43" s="108">
        <v>-9.7209652462292698E-2</v>
      </c>
      <c r="AO43" s="108">
        <v>-7.6856426170245407E-2</v>
      </c>
      <c r="AP43" s="108">
        <v>-0.43254668988754502</v>
      </c>
      <c r="AQ43" s="108">
        <v>-0.27594634800429002</v>
      </c>
      <c r="AW43" s="75" t="str">
        <f t="shared" si="54"/>
        <v>Cowes</v>
      </c>
      <c r="AX43" s="106" t="str">
        <f t="shared" si="9"/>
        <v>Seaview</v>
      </c>
      <c r="AY43" s="87">
        <f t="shared" si="10"/>
        <v>9.6</v>
      </c>
      <c r="AZ43" s="108">
        <f t="shared" si="55"/>
        <v>13.224799583026252</v>
      </c>
      <c r="BA43" s="108">
        <f t="shared" si="12"/>
        <v>10.112519999999998</v>
      </c>
      <c r="BB43" s="83">
        <f t="shared" si="13"/>
        <v>9.6862842029220726</v>
      </c>
      <c r="BC43" s="83">
        <f t="shared" si="14"/>
        <v>174.89532401121133</v>
      </c>
    </row>
    <row r="44" spans="2:55">
      <c r="B44" s="75" t="s">
        <v>191</v>
      </c>
      <c r="C44" s="108">
        <v>0.14925706727212201</v>
      </c>
      <c r="D44" s="108">
        <v>0.40626819196681002</v>
      </c>
      <c r="E44" s="108">
        <v>0.36013065080762302</v>
      </c>
      <c r="F44" s="108">
        <v>-0.34528724973825697</v>
      </c>
      <c r="G44" s="108">
        <v>0.16333166768141999</v>
      </c>
      <c r="H44" s="108">
        <v>0.26028058084802502</v>
      </c>
      <c r="I44" s="108">
        <v>-2.25111726742134E-2</v>
      </c>
      <c r="J44" s="108">
        <v>-0.42703082641391699</v>
      </c>
      <c r="K44" s="108">
        <v>-4.9167652458271302E-2</v>
      </c>
      <c r="L44" s="108">
        <v>-2.10685625167359E-2</v>
      </c>
      <c r="M44" s="108">
        <v>0.28359308867937</v>
      </c>
      <c r="N44" s="108">
        <v>0.27494536303072797</v>
      </c>
      <c r="O44" s="108">
        <v>0.35718970389938198</v>
      </c>
      <c r="U44" s="181" t="str">
        <f t="shared" si="51"/>
        <v>Cowes</v>
      </c>
      <c r="V44" s="181" t="s">
        <v>197</v>
      </c>
      <c r="W44" s="87">
        <f t="shared" si="52"/>
        <v>7.5</v>
      </c>
      <c r="X44" s="108">
        <f t="shared" si="53"/>
        <v>7.3058914430261677</v>
      </c>
      <c r="Y44" s="108">
        <f t="shared" si="35"/>
        <v>7.7493500000000006</v>
      </c>
      <c r="Z44" s="172">
        <f t="shared" si="36"/>
        <v>0.19665549175331426</v>
      </c>
      <c r="AA44" s="172">
        <f t="shared" si="37"/>
        <v>53.376049777282979</v>
      </c>
      <c r="AD44" s="75" t="s">
        <v>191</v>
      </c>
      <c r="AE44" s="108">
        <v>-0.14701197705938901</v>
      </c>
      <c r="AF44" s="108">
        <v>-0.39186774689285903</v>
      </c>
      <c r="AG44" s="108">
        <v>0.39120589229820402</v>
      </c>
      <c r="AH44" s="108">
        <v>-0.33463553699302201</v>
      </c>
      <c r="AI44" s="108">
        <v>-0.132023998576524</v>
      </c>
      <c r="AJ44" s="108">
        <v>-0.17094461723259399</v>
      </c>
      <c r="AK44" s="108">
        <v>-0.33347185902755799</v>
      </c>
      <c r="AL44" s="108">
        <v>-9.7100365273139602E-2</v>
      </c>
      <c r="AM44" s="108">
        <v>6.80351223393249E-3</v>
      </c>
      <c r="AN44" s="108">
        <v>0.141631972300758</v>
      </c>
      <c r="AO44" s="108">
        <v>-0.52416521623630596</v>
      </c>
      <c r="AP44" s="108">
        <v>-0.14541123228193201</v>
      </c>
      <c r="AQ44" s="108">
        <v>-0.27662301233995601</v>
      </c>
      <c r="AW44" s="75" t="str">
        <f t="shared" si="54"/>
        <v>Cowes</v>
      </c>
      <c r="AX44" s="106" t="str">
        <f t="shared" si="9"/>
        <v>Shalfleet</v>
      </c>
      <c r="AY44" s="87">
        <f t="shared" si="10"/>
        <v>7.5</v>
      </c>
      <c r="AZ44" s="108">
        <f t="shared" si="55"/>
        <v>7.2020862601341626</v>
      </c>
      <c r="BA44" s="108">
        <f t="shared" si="12"/>
        <v>7.9354499999999994</v>
      </c>
      <c r="BB44" s="83">
        <f t="shared" si="13"/>
        <v>0.53782237495000673</v>
      </c>
      <c r="BC44" s="83">
        <f t="shared" si="14"/>
        <v>51.870046498413288</v>
      </c>
    </row>
    <row r="45" spans="2:55">
      <c r="B45" s="75" t="s">
        <v>192</v>
      </c>
      <c r="C45" s="108">
        <v>9.5223473799224495E-2</v>
      </c>
      <c r="D45" s="108">
        <v>0.15791228461595699</v>
      </c>
      <c r="E45" s="108">
        <v>0.20513079883729901</v>
      </c>
      <c r="F45" s="108">
        <v>0.26574605140805402</v>
      </c>
      <c r="G45" s="108">
        <v>-0.111522924574671</v>
      </c>
      <c r="H45" s="108">
        <v>-5.7855669856500098E-2</v>
      </c>
      <c r="I45" s="108">
        <v>0.14130854116050001</v>
      </c>
      <c r="J45" s="108">
        <v>0.56018434486032698</v>
      </c>
      <c r="K45" s="108">
        <v>-3.0614353919804799E-2</v>
      </c>
      <c r="L45" s="108">
        <v>-0.43425609746064803</v>
      </c>
      <c r="M45" s="108">
        <v>0.47214144978572298</v>
      </c>
      <c r="N45" s="108">
        <v>-0.109137407833083</v>
      </c>
      <c r="O45" s="108">
        <v>0.28176803832349701</v>
      </c>
      <c r="U45" s="181" t="str">
        <f t="shared" si="51"/>
        <v>Cowes</v>
      </c>
      <c r="V45" s="181" t="s">
        <v>198</v>
      </c>
      <c r="W45" s="87">
        <f t="shared" si="52"/>
        <v>14.2</v>
      </c>
      <c r="X45" s="108">
        <f t="shared" si="53"/>
        <v>15.297518243847275</v>
      </c>
      <c r="Y45" s="108">
        <f t="shared" si="35"/>
        <v>14.52506</v>
      </c>
      <c r="Z45" s="172">
        <f t="shared" si="36"/>
        <v>0.59669173848761636</v>
      </c>
      <c r="AA45" s="172">
        <f t="shared" si="37"/>
        <v>234.01406442084021</v>
      </c>
      <c r="AD45" s="75" t="s">
        <v>192</v>
      </c>
      <c r="AE45" s="108">
        <v>-9.3083050771359296E-2</v>
      </c>
      <c r="AF45" s="108">
        <v>-0.15762140393514101</v>
      </c>
      <c r="AG45" s="108">
        <v>0.19442046288619799</v>
      </c>
      <c r="AH45" s="108">
        <v>0.27534615526710599</v>
      </c>
      <c r="AI45" s="108">
        <v>9.7607703372964399E-2</v>
      </c>
      <c r="AJ45" s="108">
        <v>9.7617128544580503E-2</v>
      </c>
      <c r="AK45" s="108">
        <v>0.48314989385144302</v>
      </c>
      <c r="AL45" s="108">
        <v>3.83454463571372E-2</v>
      </c>
      <c r="AM45" s="108">
        <v>0.47380298633238599</v>
      </c>
      <c r="AN45" s="108">
        <v>0.52966262410528597</v>
      </c>
      <c r="AO45" s="108">
        <v>6.8724487846973006E-2</v>
      </c>
      <c r="AP45" s="108">
        <v>-0.111196881790236</v>
      </c>
      <c r="AQ45" s="108">
        <v>-0.27712107347157799</v>
      </c>
      <c r="AW45" s="75" t="str">
        <f t="shared" si="54"/>
        <v>Cowes</v>
      </c>
      <c r="AX45" s="106" t="str">
        <f t="shared" si="9"/>
        <v>Shanklin</v>
      </c>
      <c r="AY45" s="87">
        <f t="shared" si="10"/>
        <v>14.2</v>
      </c>
      <c r="AZ45" s="108">
        <f t="shared" si="55"/>
        <v>15.485284210518454</v>
      </c>
      <c r="BA45" s="108">
        <f t="shared" si="12"/>
        <v>14.881339999999998</v>
      </c>
      <c r="BB45" s="83">
        <f t="shared" si="13"/>
        <v>0.36474860941876142</v>
      </c>
      <c r="BC45" s="83">
        <f t="shared" si="14"/>
        <v>239.79402708053215</v>
      </c>
    </row>
    <row r="46" spans="2:55">
      <c r="B46" s="75" t="s">
        <v>193</v>
      </c>
      <c r="C46" s="108">
        <v>0.15356907848824</v>
      </c>
      <c r="D46" s="108">
        <v>0.31991118156867199</v>
      </c>
      <c r="E46" s="108">
        <v>0.47567583916422301</v>
      </c>
      <c r="F46" s="108">
        <v>-6.1012758056329601E-2</v>
      </c>
      <c r="G46" s="108">
        <v>-0.20539984163913</v>
      </c>
      <c r="H46" s="108">
        <v>-5.0883008362923997E-2</v>
      </c>
      <c r="I46" s="108">
        <v>0.13121289288527599</v>
      </c>
      <c r="J46" s="108">
        <v>7.7720345708002306E-2</v>
      </c>
      <c r="K46" s="108">
        <v>0.24824305216818501</v>
      </c>
      <c r="L46" s="108">
        <v>0.33230638042688498</v>
      </c>
      <c r="M46" s="108">
        <v>-0.297296011589676</v>
      </c>
      <c r="N46" s="108">
        <v>-0.56165832186355202</v>
      </c>
      <c r="O46" s="108">
        <v>-1.2277218729775099E-2</v>
      </c>
      <c r="U46" s="181" t="str">
        <f t="shared" si="51"/>
        <v>Cowes</v>
      </c>
      <c r="V46" s="181" t="s">
        <v>199</v>
      </c>
      <c r="W46" s="87">
        <f t="shared" si="52"/>
        <v>14.1</v>
      </c>
      <c r="X46" s="108">
        <f t="shared" si="53"/>
        <v>11.649152624627982</v>
      </c>
      <c r="Y46" s="108">
        <f t="shared" si="35"/>
        <v>14.42393</v>
      </c>
      <c r="Z46" s="172">
        <f t="shared" si="36"/>
        <v>7.699389482876426</v>
      </c>
      <c r="AA46" s="172">
        <f t="shared" si="37"/>
        <v>135.702756871877</v>
      </c>
      <c r="AD46" s="75" t="s">
        <v>193</v>
      </c>
      <c r="AE46" s="108">
        <v>-0.15107538996197301</v>
      </c>
      <c r="AF46" s="108">
        <v>-0.31097771158833498</v>
      </c>
      <c r="AG46" s="108">
        <v>0.477622328484474</v>
      </c>
      <c r="AH46" s="108">
        <v>-2.1905684552125899E-2</v>
      </c>
      <c r="AI46" s="108">
        <v>8.4022009653795304E-2</v>
      </c>
      <c r="AJ46" s="108">
        <v>0.164368407295269</v>
      </c>
      <c r="AK46" s="108">
        <v>0.18308066694459399</v>
      </c>
      <c r="AL46" s="108">
        <v>0.24014165993771899</v>
      </c>
      <c r="AM46" s="108">
        <v>-0.34985342550216902</v>
      </c>
      <c r="AN46" s="108">
        <v>-0.37267418340620601</v>
      </c>
      <c r="AO46" s="108">
        <v>0.41562425960606603</v>
      </c>
      <c r="AP46" s="108">
        <v>0.125851973135189</v>
      </c>
      <c r="AQ46" s="108">
        <v>-0.27701482318231102</v>
      </c>
      <c r="AW46" s="75" t="str">
        <f t="shared" si="54"/>
        <v>Cowes</v>
      </c>
      <c r="AX46" s="106" t="str">
        <f t="shared" si="9"/>
        <v>Totland</v>
      </c>
      <c r="AY46" s="87">
        <f t="shared" si="10"/>
        <v>14.1</v>
      </c>
      <c r="AZ46" s="108">
        <f t="shared" si="55"/>
        <v>11.564649771306332</v>
      </c>
      <c r="BA46" s="108">
        <f t="shared" si="12"/>
        <v>14.777669999999999</v>
      </c>
      <c r="BB46" s="83">
        <f t="shared" si="13"/>
        <v>10.323498989994704</v>
      </c>
      <c r="BC46" s="83">
        <f t="shared" si="14"/>
        <v>133.7411243329756</v>
      </c>
    </row>
    <row r="47" spans="2:55">
      <c r="B47" s="75" t="s">
        <v>194</v>
      </c>
      <c r="C47" s="108">
        <v>-0.17068337151303101</v>
      </c>
      <c r="D47" s="108">
        <v>0.199718718576812</v>
      </c>
      <c r="E47" s="108">
        <v>-0.164786434511413</v>
      </c>
      <c r="F47" s="108">
        <v>0.14244813439333301</v>
      </c>
      <c r="G47" s="108">
        <v>7.8149311904362403E-2</v>
      </c>
      <c r="H47" s="108">
        <v>0.85984543197480701</v>
      </c>
      <c r="I47" s="108">
        <v>-0.20862552885333599</v>
      </c>
      <c r="J47" s="108">
        <v>0.22749297361399401</v>
      </c>
      <c r="K47" s="108">
        <v>-4.1056207863014199E-2</v>
      </c>
      <c r="L47" s="108">
        <v>1.56228095682918E-2</v>
      </c>
      <c r="M47" s="108">
        <v>-0.12255362821839599</v>
      </c>
      <c r="N47" s="108">
        <v>-0.15475732869575001</v>
      </c>
      <c r="O47" s="108">
        <v>-4.3766734151410899E-2</v>
      </c>
      <c r="U47" s="181" t="str">
        <f t="shared" si="51"/>
        <v>Cowes</v>
      </c>
      <c r="V47" s="181" t="s">
        <v>200</v>
      </c>
      <c r="W47" s="87">
        <f t="shared" si="52"/>
        <v>14.5</v>
      </c>
      <c r="X47" s="108">
        <f t="shared" si="53"/>
        <v>15.507323499908205</v>
      </c>
      <c r="Y47" s="108">
        <f t="shared" si="35"/>
        <v>14.828450000000002</v>
      </c>
      <c r="Z47" s="172">
        <f t="shared" si="36"/>
        <v>0.46086922887761306</v>
      </c>
      <c r="AA47" s="172">
        <f t="shared" si="37"/>
        <v>240.47708213080526</v>
      </c>
      <c r="AD47" s="75" t="s">
        <v>194</v>
      </c>
      <c r="AE47" s="108">
        <v>0.20596066644816499</v>
      </c>
      <c r="AF47" s="108">
        <v>-0.26737775858635598</v>
      </c>
      <c r="AG47" s="108">
        <v>-0.27366614928763899</v>
      </c>
      <c r="AH47" s="108">
        <v>0.41497460118357599</v>
      </c>
      <c r="AI47" s="108">
        <v>-0.38908319708936101</v>
      </c>
      <c r="AJ47" s="108">
        <v>0.29047421895585201</v>
      </c>
      <c r="AK47" s="108">
        <v>0.14054266279729399</v>
      </c>
      <c r="AL47" s="108">
        <v>-2.89535811222459E-2</v>
      </c>
      <c r="AM47" s="108">
        <v>-2.8786180367126501E-2</v>
      </c>
      <c r="AN47" s="108">
        <v>-0.28149545467374698</v>
      </c>
      <c r="AO47" s="108">
        <v>-0.406248284829129</v>
      </c>
      <c r="AP47" s="108">
        <v>0.24626919236456701</v>
      </c>
      <c r="AQ47" s="108">
        <v>-0.27728357671940701</v>
      </c>
      <c r="AW47" s="75" t="str">
        <f t="shared" si="54"/>
        <v>Cowes</v>
      </c>
      <c r="AX47" s="106" t="str">
        <f t="shared" si="9"/>
        <v>Ventnor</v>
      </c>
      <c r="AY47" s="87">
        <f t="shared" si="10"/>
        <v>14.5</v>
      </c>
      <c r="AZ47" s="108">
        <f t="shared" si="55"/>
        <v>15.691188025612201</v>
      </c>
      <c r="BA47" s="108">
        <f t="shared" si="12"/>
        <v>15.192349999999999</v>
      </c>
      <c r="BB47" s="83">
        <f t="shared" si="13"/>
        <v>0.24883937579667925</v>
      </c>
      <c r="BC47" s="83">
        <f t="shared" si="14"/>
        <v>246.21338165511571</v>
      </c>
    </row>
    <row r="48" spans="2:55">
      <c r="B48" s="75" t="s">
        <v>195</v>
      </c>
      <c r="C48" s="108">
        <v>-0.32313845736699198</v>
      </c>
      <c r="D48" s="108">
        <v>-0.14252686317242599</v>
      </c>
      <c r="E48" s="108">
        <v>-7.3136639968859399E-3</v>
      </c>
      <c r="F48" s="108">
        <v>-2.02935942282782E-2</v>
      </c>
      <c r="G48" s="108">
        <v>-0.43575471265879601</v>
      </c>
      <c r="H48" s="108">
        <v>-2.6948593388356701E-2</v>
      </c>
      <c r="I48" s="108">
        <v>-5.22309729769945E-2</v>
      </c>
      <c r="J48" s="108">
        <v>5.48047672064952E-2</v>
      </c>
      <c r="K48" s="108">
        <v>-0.41679627925561602</v>
      </c>
      <c r="L48" s="108">
        <v>0.273447028519332</v>
      </c>
      <c r="M48" s="108">
        <v>-0.171798009529009</v>
      </c>
      <c r="N48" s="108">
        <v>3.8353941085008399E-2</v>
      </c>
      <c r="O48" s="108">
        <v>0.63165202523069897</v>
      </c>
      <c r="U48" s="181" t="str">
        <f>$B$8</f>
        <v>Newport</v>
      </c>
      <c r="V48" s="181" t="s">
        <v>193</v>
      </c>
      <c r="W48" s="87">
        <f>G9</f>
        <v>3.2</v>
      </c>
      <c r="X48" s="108">
        <f>SQRT(((C69-$C$68)^2)+((D69-$D$68)^2))</f>
        <v>2.9295960458366839</v>
      </c>
      <c r="Y48" s="108">
        <f>(W48*1.0113)+0.1646</f>
        <v>3.4007600000000004</v>
      </c>
      <c r="Z48" s="172">
        <f>(X48-Y48)^2</f>
        <v>0.22199547170281189</v>
      </c>
      <c r="AA48" s="172">
        <f>X48^2</f>
        <v>8.5825329917819335</v>
      </c>
      <c r="AD48" s="75" t="s">
        <v>195</v>
      </c>
      <c r="AE48" s="108">
        <v>0.31956733991248198</v>
      </c>
      <c r="AF48" s="108">
        <v>0.14972317812592001</v>
      </c>
      <c r="AG48" s="108">
        <v>-2.93933599764313E-3</v>
      </c>
      <c r="AH48" s="108">
        <v>-4.6431748258493798E-2</v>
      </c>
      <c r="AI48" s="108">
        <v>0.242357912109952</v>
      </c>
      <c r="AJ48" s="108">
        <v>0.37092932994364503</v>
      </c>
      <c r="AK48" s="108">
        <v>6.2109961450464601E-2</v>
      </c>
      <c r="AL48" s="108">
        <v>-0.40846110878014102</v>
      </c>
      <c r="AM48" s="108">
        <v>-0.266558199972594</v>
      </c>
      <c r="AN48" s="108">
        <v>-4.2483308371140602E-2</v>
      </c>
      <c r="AO48" s="108">
        <v>-2.3555206606178901E-2</v>
      </c>
      <c r="AP48" s="108">
        <v>-0.59720286733060801</v>
      </c>
      <c r="AQ48" s="108">
        <v>-0.27605591862831103</v>
      </c>
      <c r="AW48" s="75" t="str">
        <f>$B$8</f>
        <v>Newport</v>
      </c>
      <c r="AX48" s="106" t="str">
        <f t="shared" si="9"/>
        <v>Northwood</v>
      </c>
      <c r="AY48" s="87">
        <f t="shared" si="10"/>
        <v>3.2</v>
      </c>
      <c r="AZ48" s="108">
        <f>SQRT(((AE68-$AE$67)^2)+((AF68-$AF$67)^2))</f>
        <v>2.8984027620595296</v>
      </c>
      <c r="BA48" s="108">
        <f t="shared" si="12"/>
        <v>3.4776400000000001</v>
      </c>
      <c r="BB48" s="83">
        <f t="shared" si="13"/>
        <v>0.33551577781690517</v>
      </c>
      <c r="BC48" s="83">
        <f t="shared" si="14"/>
        <v>8.4007385711143101</v>
      </c>
    </row>
    <row r="49" spans="2:55">
      <c r="B49" s="75" t="s">
        <v>196</v>
      </c>
      <c r="C49" s="108">
        <v>-0.32658849974172199</v>
      </c>
      <c r="D49" s="108">
        <v>0.300467989473436</v>
      </c>
      <c r="E49" s="108">
        <v>-0.28785309769719097</v>
      </c>
      <c r="F49" s="108">
        <v>-7.0459928502038097E-2</v>
      </c>
      <c r="G49" s="108">
        <v>0.52132400474294105</v>
      </c>
      <c r="H49" s="108">
        <v>-0.327268740780643</v>
      </c>
      <c r="I49" s="108">
        <v>-0.21192662496916601</v>
      </c>
      <c r="J49" s="108">
        <v>-3.2932838207267202E-2</v>
      </c>
      <c r="K49" s="108">
        <v>-0.11375508962506201</v>
      </c>
      <c r="L49" s="108">
        <v>6.6792841139679399E-2</v>
      </c>
      <c r="M49" s="108">
        <v>0.14881431136020901</v>
      </c>
      <c r="N49" s="108">
        <v>-0.463054139105327</v>
      </c>
      <c r="O49" s="108">
        <v>0.19075528797907701</v>
      </c>
      <c r="U49" s="181" t="str">
        <f t="shared" ref="U49:U55" si="56">$B$8</f>
        <v>Newport</v>
      </c>
      <c r="V49" s="181" t="s">
        <v>194</v>
      </c>
      <c r="W49" s="87">
        <f t="shared" ref="W49:W55" si="57">G10</f>
        <v>6.4</v>
      </c>
      <c r="X49" s="108">
        <f t="shared" ref="X49:X55" si="58">SQRT(((C70-$C$68)^2)+((D70-$D$68)^2))</f>
        <v>7.2115120110617097</v>
      </c>
      <c r="Y49" s="108">
        <f t="shared" ref="Y49:Y67" si="59">(W49*1.0113)+0.1646</f>
        <v>6.6369200000000008</v>
      </c>
      <c r="Z49" s="172">
        <f t="shared" ref="Z49:Z67" si="60">(X49-Y49)^2</f>
        <v>0.33015597917593897</v>
      </c>
      <c r="AA49" s="172">
        <f t="shared" ref="AA49:AA67" si="61">X49^2</f>
        <v>52.005905485687308</v>
      </c>
      <c r="AD49" s="75" t="s">
        <v>196</v>
      </c>
      <c r="AE49" s="108">
        <v>0.32922297063388201</v>
      </c>
      <c r="AF49" s="108">
        <v>-0.29347313492856097</v>
      </c>
      <c r="AG49" s="108">
        <v>-0.26015237919717199</v>
      </c>
      <c r="AH49" s="108">
        <v>-5.4914671667277502E-2</v>
      </c>
      <c r="AI49" s="108">
        <v>-0.38534892947890098</v>
      </c>
      <c r="AJ49" s="108">
        <v>-0.30829401186201599</v>
      </c>
      <c r="AK49" s="108">
        <v>-0.20782804316513701</v>
      </c>
      <c r="AL49" s="108">
        <v>-9.6485008951824394E-2</v>
      </c>
      <c r="AM49" s="108">
        <v>-5.04149697048299E-2</v>
      </c>
      <c r="AN49" s="108">
        <v>0.23030665311383799</v>
      </c>
      <c r="AO49" s="108">
        <v>0.54683856418839105</v>
      </c>
      <c r="AP49" s="108">
        <v>-8.2215790623440504E-2</v>
      </c>
      <c r="AQ49" s="108">
        <v>-0.27816425055502397</v>
      </c>
      <c r="AW49" s="75" t="str">
        <f t="shared" ref="AW49:AW55" si="62">$B$8</f>
        <v>Newport</v>
      </c>
      <c r="AX49" s="106" t="str">
        <f t="shared" si="9"/>
        <v>Ryde</v>
      </c>
      <c r="AY49" s="87">
        <f t="shared" si="10"/>
        <v>6.4</v>
      </c>
      <c r="AZ49" s="108">
        <f t="shared" ref="AZ49:AZ55" si="63">SQRT(((AE69-$AE$67)^2)+((AF69-$AF$67)^2))</f>
        <v>8.4264878890585297</v>
      </c>
      <c r="BA49" s="108">
        <f t="shared" si="12"/>
        <v>6.7950799999999996</v>
      </c>
      <c r="BB49" s="83">
        <f t="shared" si="13"/>
        <v>2.6614917004824097</v>
      </c>
      <c r="BC49" s="83">
        <f t="shared" si="14"/>
        <v>71.005698144450079</v>
      </c>
    </row>
    <row r="50" spans="2:55">
      <c r="B50" s="75" t="s">
        <v>197</v>
      </c>
      <c r="C50" s="108">
        <v>0.35331310383471498</v>
      </c>
      <c r="D50" s="108">
        <v>9.1731818291324901E-2</v>
      </c>
      <c r="E50" s="108">
        <v>-0.196338942988418</v>
      </c>
      <c r="F50" s="108">
        <v>0.26942801880318601</v>
      </c>
      <c r="G50" s="108">
        <v>-0.28803888550249501</v>
      </c>
      <c r="H50" s="108">
        <v>2.8733296749750899E-2</v>
      </c>
      <c r="I50" s="108">
        <v>-3.9084565224842598E-2</v>
      </c>
      <c r="J50" s="108">
        <v>-0.50230630517374497</v>
      </c>
      <c r="K50" s="108">
        <v>-0.38837421091216601</v>
      </c>
      <c r="L50" s="108">
        <v>-0.34527715870685199</v>
      </c>
      <c r="M50" s="108">
        <v>-3.12351033209472E-2</v>
      </c>
      <c r="N50" s="108">
        <v>-0.38110168437959602</v>
      </c>
      <c r="O50" s="108">
        <v>-4.14546429139604E-2</v>
      </c>
      <c r="U50" s="181" t="str">
        <f t="shared" si="56"/>
        <v>Newport</v>
      </c>
      <c r="V50" s="181" t="s">
        <v>195</v>
      </c>
      <c r="W50" s="87">
        <f t="shared" si="57"/>
        <v>8.9</v>
      </c>
      <c r="X50" s="108">
        <f t="shared" si="58"/>
        <v>12.19444939423153</v>
      </c>
      <c r="Y50" s="108">
        <f t="shared" si="59"/>
        <v>9.1651700000000016</v>
      </c>
      <c r="Z50" s="172">
        <f t="shared" si="60"/>
        <v>9.1765336483157345</v>
      </c>
      <c r="AA50" s="172">
        <f t="shared" si="61"/>
        <v>148.70459602847373</v>
      </c>
      <c r="AD50" s="75" t="s">
        <v>197</v>
      </c>
      <c r="AE50" s="108">
        <v>-0.34952999792442901</v>
      </c>
      <c r="AF50" s="108">
        <v>-0.10337446739082699</v>
      </c>
      <c r="AG50" s="108">
        <v>-0.19403804505658201</v>
      </c>
      <c r="AH50" s="108">
        <v>0.14772462175078999</v>
      </c>
      <c r="AI50" s="108">
        <v>0.40038675703613502</v>
      </c>
      <c r="AJ50" s="108">
        <v>4.42599751563795E-2</v>
      </c>
      <c r="AK50" s="108">
        <v>-0.37623201250203803</v>
      </c>
      <c r="AL50" s="108">
        <v>-0.44326791378054697</v>
      </c>
      <c r="AM50" s="108">
        <v>0.32066094628695202</v>
      </c>
      <c r="AN50" s="108">
        <v>-0.21296543859869599</v>
      </c>
      <c r="AO50" s="108">
        <v>0.17418652045324601</v>
      </c>
      <c r="AP50" s="108">
        <v>0.22498217192165201</v>
      </c>
      <c r="AQ50" s="108">
        <v>-0.27969279560081001</v>
      </c>
      <c r="AW50" s="75" t="str">
        <f t="shared" si="62"/>
        <v>Newport</v>
      </c>
      <c r="AX50" s="106" t="str">
        <f t="shared" si="9"/>
        <v>Sandown</v>
      </c>
      <c r="AY50" s="87">
        <f t="shared" si="10"/>
        <v>8.9</v>
      </c>
      <c r="AZ50" s="108">
        <f t="shared" si="63"/>
        <v>12.368228646516965</v>
      </c>
      <c r="BA50" s="108">
        <f t="shared" si="12"/>
        <v>9.3868299999999998</v>
      </c>
      <c r="BB50" s="83">
        <f t="shared" si="13"/>
        <v>8.8887378894531892</v>
      </c>
      <c r="BC50" s="83">
        <f t="shared" si="14"/>
        <v>152.97307985252286</v>
      </c>
    </row>
    <row r="51" spans="2:55">
      <c r="B51" s="75" t="s">
        <v>198</v>
      </c>
      <c r="C51" s="108">
        <v>-0.27729011191475</v>
      </c>
      <c r="D51" s="108">
        <v>-0.25378659660126301</v>
      </c>
      <c r="E51" s="108">
        <v>0.11417218835088599</v>
      </c>
      <c r="F51" s="108">
        <v>0.169643764539121</v>
      </c>
      <c r="G51" s="108">
        <v>-0.283125185757716</v>
      </c>
      <c r="H51" s="108">
        <v>9.2284245636571297E-2</v>
      </c>
      <c r="I51" s="108">
        <v>-0.25035975530147703</v>
      </c>
      <c r="J51" s="108">
        <v>-0.27822560910566302</v>
      </c>
      <c r="K51" s="108">
        <v>0.28053877853912901</v>
      </c>
      <c r="L51" s="108">
        <v>0.25413692211678002</v>
      </c>
      <c r="M51" s="108">
        <v>0.62496381600287898</v>
      </c>
      <c r="N51" s="108">
        <v>-0.19767053174833299</v>
      </c>
      <c r="O51" s="108">
        <v>-0.123213312829273</v>
      </c>
      <c r="U51" s="181" t="str">
        <f t="shared" si="56"/>
        <v>Newport</v>
      </c>
      <c r="V51" s="181" t="s">
        <v>196</v>
      </c>
      <c r="W51" s="87">
        <f t="shared" si="57"/>
        <v>10</v>
      </c>
      <c r="X51" s="108">
        <f t="shared" si="58"/>
        <v>11.600329727341034</v>
      </c>
      <c r="Y51" s="108">
        <f t="shared" si="59"/>
        <v>10.277600000000001</v>
      </c>
      <c r="Z51" s="172">
        <f t="shared" si="60"/>
        <v>1.7496139315916823</v>
      </c>
      <c r="AA51" s="172">
        <f t="shared" si="61"/>
        <v>134.5676497830321</v>
      </c>
      <c r="AD51" s="75" t="s">
        <v>198</v>
      </c>
      <c r="AE51" s="108">
        <v>0.27247085454828901</v>
      </c>
      <c r="AF51" s="108">
        <v>0.26121269623846699</v>
      </c>
      <c r="AG51" s="108">
        <v>0.106053368329129</v>
      </c>
      <c r="AH51" s="108">
        <v>0.124195752673413</v>
      </c>
      <c r="AI51" s="108">
        <v>0.245289445665898</v>
      </c>
      <c r="AJ51" s="108">
        <v>0.20373577321973399</v>
      </c>
      <c r="AK51" s="108">
        <v>-0.38036399623276401</v>
      </c>
      <c r="AL51" s="108">
        <v>0.25734348506377303</v>
      </c>
      <c r="AM51" s="108">
        <v>-0.25018287745627199</v>
      </c>
      <c r="AN51" s="108">
        <v>0.44233092906231902</v>
      </c>
      <c r="AO51" s="108">
        <v>-5.9818717488140501E-2</v>
      </c>
      <c r="AP51" s="108">
        <v>0.42293608188064102</v>
      </c>
      <c r="AQ51" s="108">
        <v>-0.27852596136468699</v>
      </c>
      <c r="AW51" s="75" t="str">
        <f t="shared" si="62"/>
        <v>Newport</v>
      </c>
      <c r="AX51" s="106" t="str">
        <f t="shared" si="9"/>
        <v>Seaview</v>
      </c>
      <c r="AY51" s="87">
        <f t="shared" si="10"/>
        <v>10</v>
      </c>
      <c r="AZ51" s="108">
        <f t="shared" si="63"/>
        <v>11.841517129004123</v>
      </c>
      <c r="BA51" s="108">
        <f t="shared" si="12"/>
        <v>10.527199999999999</v>
      </c>
      <c r="BB51" s="83">
        <f t="shared" si="13"/>
        <v>1.7274295155936426</v>
      </c>
      <c r="BC51" s="83">
        <f t="shared" si="14"/>
        <v>140.22152791649805</v>
      </c>
    </row>
    <row r="52" spans="2:55">
      <c r="B52" s="75" t="s">
        <v>199</v>
      </c>
      <c r="C52" s="108">
        <v>0.47297730539350902</v>
      </c>
      <c r="D52" s="108">
        <v>-9.8587315885419594E-2</v>
      </c>
      <c r="E52" s="108">
        <v>-0.50286346691844497</v>
      </c>
      <c r="F52" s="108">
        <v>-0.52206323698075496</v>
      </c>
      <c r="G52" s="108">
        <v>-0.19592919151074201</v>
      </c>
      <c r="H52" s="108">
        <v>7.6413767908325506E-2</v>
      </c>
      <c r="I52" s="108">
        <v>-5.4071690561836999E-2</v>
      </c>
      <c r="J52" s="108">
        <v>0.19469651221385301</v>
      </c>
      <c r="K52" s="108">
        <v>0.19260667929203701</v>
      </c>
      <c r="L52" s="108">
        <v>0.14711210708251199</v>
      </c>
      <c r="M52" s="108">
        <v>0.20628513295207199</v>
      </c>
      <c r="N52" s="108">
        <v>-0.157766423537155</v>
      </c>
      <c r="O52" s="108">
        <v>0.17294630071141801</v>
      </c>
      <c r="U52" s="181" t="str">
        <f t="shared" si="56"/>
        <v>Newport</v>
      </c>
      <c r="V52" s="181" t="s">
        <v>197</v>
      </c>
      <c r="W52" s="87">
        <f t="shared" si="57"/>
        <v>6.1</v>
      </c>
      <c r="X52" s="108">
        <f t="shared" si="58"/>
        <v>7.0447301038968293</v>
      </c>
      <c r="Y52" s="108">
        <f t="shared" si="59"/>
        <v>6.3335300000000005</v>
      </c>
      <c r="Z52" s="172">
        <f t="shared" si="60"/>
        <v>0.50580558778286</v>
      </c>
      <c r="AA52" s="172">
        <f t="shared" si="61"/>
        <v>49.628222236750233</v>
      </c>
      <c r="AD52" s="75" t="s">
        <v>199</v>
      </c>
      <c r="AE52" s="108">
        <v>-0.470064568607797</v>
      </c>
      <c r="AF52" s="108">
        <v>7.5932982376163499E-2</v>
      </c>
      <c r="AG52" s="108">
        <v>-0.49646739912614302</v>
      </c>
      <c r="AH52" s="108">
        <v>-0.48094170265083203</v>
      </c>
      <c r="AI52" s="108">
        <v>-0.113294099510095</v>
      </c>
      <c r="AJ52" s="108">
        <v>0.30631217759548102</v>
      </c>
      <c r="AK52" s="108">
        <v>0.14425624593266601</v>
      </c>
      <c r="AL52" s="108">
        <v>0.209125001362547</v>
      </c>
      <c r="AM52" s="108">
        <v>-0.13834936342474999</v>
      </c>
      <c r="AN52" s="108">
        <v>0.169356958809251</v>
      </c>
      <c r="AO52" s="108">
        <v>-7.2142831917980702E-4</v>
      </c>
      <c r="AP52" s="108">
        <v>1.1347192585958799E-3</v>
      </c>
      <c r="AQ52" s="108">
        <v>-0.27651169245971902</v>
      </c>
      <c r="AW52" s="75" t="str">
        <f t="shared" si="62"/>
        <v>Newport</v>
      </c>
      <c r="AX52" s="106" t="str">
        <f t="shared" si="9"/>
        <v>Shalfleet</v>
      </c>
      <c r="AY52" s="87">
        <f t="shared" si="10"/>
        <v>6.1</v>
      </c>
      <c r="AZ52" s="108">
        <f t="shared" si="63"/>
        <v>7.1237611107181635</v>
      </c>
      <c r="BA52" s="108">
        <f t="shared" si="12"/>
        <v>6.4840699999999991</v>
      </c>
      <c r="BB52" s="83">
        <f t="shared" si="13"/>
        <v>0.40920471713183887</v>
      </c>
      <c r="BC52" s="83">
        <f t="shared" si="14"/>
        <v>50.747972362580484</v>
      </c>
    </row>
    <row r="53" spans="2:55">
      <c r="B53" s="85" t="s">
        <v>200</v>
      </c>
      <c r="C53" s="175">
        <v>-0.183767082448105</v>
      </c>
      <c r="D53" s="175">
        <v>-0.42233558517283798</v>
      </c>
      <c r="E53" s="175">
        <v>0.22876556623699901</v>
      </c>
      <c r="F53" s="175">
        <v>-0.34476544350035498</v>
      </c>
      <c r="G53" s="175">
        <v>5.07433699135168E-2</v>
      </c>
      <c r="H53" s="175">
        <v>7.6538550096330593E-2</v>
      </c>
      <c r="I53" s="175">
        <v>-0.222064277279373</v>
      </c>
      <c r="J53" s="175">
        <v>-8.0530687111442303E-2</v>
      </c>
      <c r="K53" s="175">
        <v>0.24237930305899599</v>
      </c>
      <c r="L53" s="175">
        <v>-0.57727323499985705</v>
      </c>
      <c r="M53" s="175">
        <v>-0.233861978024649</v>
      </c>
      <c r="N53" s="175">
        <v>-0.26293027276053099</v>
      </c>
      <c r="O53" s="175">
        <v>0.19136033034075001</v>
      </c>
      <c r="U53" s="181" t="str">
        <f t="shared" si="56"/>
        <v>Newport</v>
      </c>
      <c r="V53" s="181" t="s">
        <v>198</v>
      </c>
      <c r="W53" s="87">
        <f t="shared" si="57"/>
        <v>9.1</v>
      </c>
      <c r="X53" s="108">
        <f t="shared" si="58"/>
        <v>11.859759939168407</v>
      </c>
      <c r="Y53" s="108">
        <f t="shared" si="59"/>
        <v>9.3674300000000006</v>
      </c>
      <c r="Z53" s="172">
        <f t="shared" si="60"/>
        <v>6.2117085256751947</v>
      </c>
      <c r="AA53" s="172">
        <f t="shared" si="61"/>
        <v>140.65390581470382</v>
      </c>
      <c r="AD53" s="85" t="s">
        <v>200</v>
      </c>
      <c r="AE53" s="167">
        <v>0.17766068970551999</v>
      </c>
      <c r="AF53" s="167">
        <v>0.42564714576933299</v>
      </c>
      <c r="AG53" s="167">
        <v>0.20626021702689601</v>
      </c>
      <c r="AH53" s="167">
        <v>-0.21226072523557299</v>
      </c>
      <c r="AI53" s="167">
        <v>-0.289624570146016</v>
      </c>
      <c r="AJ53" s="167">
        <v>0.164288928114009</v>
      </c>
      <c r="AK53" s="167">
        <v>-0.17176228903770999</v>
      </c>
      <c r="AL53" s="167">
        <v>0.230772409416755</v>
      </c>
      <c r="AM53" s="167">
        <v>0.55972526141108103</v>
      </c>
      <c r="AN53" s="167">
        <v>-0.318271539287306</v>
      </c>
      <c r="AO53" s="167">
        <v>9.5770390620813398E-2</v>
      </c>
      <c r="AP53" s="167">
        <v>-7.72016304587647E-2</v>
      </c>
      <c r="AQ53" s="167">
        <v>-0.27624384366441701</v>
      </c>
      <c r="AW53" s="75" t="str">
        <f t="shared" si="62"/>
        <v>Newport</v>
      </c>
      <c r="AX53" s="106" t="str">
        <f t="shared" si="9"/>
        <v>Shanklin</v>
      </c>
      <c r="AY53" s="87">
        <f t="shared" si="10"/>
        <v>9.1</v>
      </c>
      <c r="AZ53" s="108">
        <f t="shared" si="63"/>
        <v>12.05044467342614</v>
      </c>
      <c r="BA53" s="108">
        <f t="shared" si="12"/>
        <v>9.5941699999999983</v>
      </c>
      <c r="BB53" s="83">
        <f t="shared" si="13"/>
        <v>6.0332852713147007</v>
      </c>
      <c r="BC53" s="83">
        <f t="shared" si="14"/>
        <v>145.21321682730445</v>
      </c>
    </row>
    <row r="54" spans="2:55"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U54" s="181" t="str">
        <f t="shared" si="56"/>
        <v>Newport</v>
      </c>
      <c r="V54" s="181" t="s">
        <v>199</v>
      </c>
      <c r="W54" s="87">
        <f t="shared" si="57"/>
        <v>12.4</v>
      </c>
      <c r="X54" s="108">
        <f t="shared" si="58"/>
        <v>10.928194207106758</v>
      </c>
      <c r="Y54" s="108">
        <f t="shared" si="59"/>
        <v>12.704720000000002</v>
      </c>
      <c r="Z54" s="172">
        <f t="shared" si="60"/>
        <v>3.156043892814969</v>
      </c>
      <c r="AA54" s="172">
        <f t="shared" si="61"/>
        <v>119.4254286282417</v>
      </c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W54" s="75" t="str">
        <f t="shared" si="62"/>
        <v>Newport</v>
      </c>
      <c r="AX54" s="106" t="str">
        <f t="shared" si="9"/>
        <v>Totland</v>
      </c>
      <c r="AY54" s="87">
        <f t="shared" si="10"/>
        <v>12.4</v>
      </c>
      <c r="AZ54" s="108">
        <f t="shared" si="63"/>
        <v>11.028876002006168</v>
      </c>
      <c r="BA54" s="108">
        <f t="shared" si="12"/>
        <v>13.015279999999999</v>
      </c>
      <c r="BB54" s="83">
        <f t="shared" si="13"/>
        <v>3.9458008432458751</v>
      </c>
      <c r="BC54" s="83">
        <f t="shared" si="14"/>
        <v>121.63610586762756</v>
      </c>
    </row>
    <row r="55" spans="2:55">
      <c r="B55" s="75" t="s">
        <v>323</v>
      </c>
      <c r="C55" s="174">
        <v>27.014341505854901</v>
      </c>
      <c r="D55" s="174">
        <v>15.243677104608601</v>
      </c>
      <c r="E55" s="174">
        <v>8.1091014214274395</v>
      </c>
      <c r="F55" s="174">
        <v>4.1840256119550503</v>
      </c>
      <c r="G55" s="174">
        <v>3.2083332106469</v>
      </c>
      <c r="H55" s="174">
        <v>3.1439536370068799</v>
      </c>
      <c r="I55" s="174">
        <v>2.53652649520722</v>
      </c>
      <c r="J55" s="174">
        <v>2.1068456525908599</v>
      </c>
      <c r="K55" s="174">
        <v>1.84623148987542</v>
      </c>
      <c r="L55" s="174">
        <v>1.18369480237081</v>
      </c>
      <c r="M55" s="174">
        <v>0.61860284201365201</v>
      </c>
      <c r="N55" s="174">
        <v>0.31816814610876898</v>
      </c>
      <c r="O55" s="174">
        <v>0.100741646564738</v>
      </c>
      <c r="Q55" s="171">
        <f>SUM(C55:O55)</f>
        <v>69.614243566231252</v>
      </c>
      <c r="U55" s="181" t="str">
        <f t="shared" si="56"/>
        <v>Newport</v>
      </c>
      <c r="V55" s="181" t="s">
        <v>200</v>
      </c>
      <c r="W55" s="87">
        <f t="shared" si="57"/>
        <v>10.5</v>
      </c>
      <c r="X55" s="108">
        <f t="shared" si="58"/>
        <v>11.620608172555087</v>
      </c>
      <c r="Y55" s="108">
        <f t="shared" si="59"/>
        <v>10.783250000000001</v>
      </c>
      <c r="Z55" s="172">
        <f t="shared" si="60"/>
        <v>0.70116870914479434</v>
      </c>
      <c r="AA55" s="172">
        <f t="shared" si="61"/>
        <v>135.0385343000541</v>
      </c>
      <c r="AD55" s="75" t="s">
        <v>323</v>
      </c>
      <c r="AE55" s="81">
        <v>27.577869190869698</v>
      </c>
      <c r="AF55" s="81">
        <v>15.7621288550156</v>
      </c>
      <c r="AG55" s="81">
        <v>8.5090975086400196</v>
      </c>
      <c r="AH55" s="81">
        <v>4.6252252160678902</v>
      </c>
      <c r="AI55" s="81">
        <v>3.5411926487835599</v>
      </c>
      <c r="AJ55" s="81">
        <v>3.1680696325569699</v>
      </c>
      <c r="AK55" s="81">
        <v>2.4077219804754999</v>
      </c>
      <c r="AL55" s="81">
        <v>1.9534197638033</v>
      </c>
      <c r="AM55" s="81">
        <v>1.27718743453149</v>
      </c>
      <c r="AN55" s="81">
        <v>0.89846596966600001</v>
      </c>
      <c r="AO55" s="81">
        <v>-0.72931152795497201</v>
      </c>
      <c r="AP55" s="81">
        <v>0.25048969677510202</v>
      </c>
      <c r="AQ55" s="81">
        <v>-1.5563692302454099E-3</v>
      </c>
      <c r="AS55" s="171">
        <f>SUM(AE55:AQ55)</f>
        <v>69.239999999999895</v>
      </c>
      <c r="AW55" s="75" t="str">
        <f t="shared" si="62"/>
        <v>Newport</v>
      </c>
      <c r="AX55" s="106" t="str">
        <f t="shared" si="9"/>
        <v>Ventnor</v>
      </c>
      <c r="AY55" s="87">
        <f t="shared" si="10"/>
        <v>10.5</v>
      </c>
      <c r="AZ55" s="108">
        <f t="shared" si="63"/>
        <v>11.843588459713922</v>
      </c>
      <c r="BA55" s="108">
        <f t="shared" si="12"/>
        <v>11.045549999999999</v>
      </c>
      <c r="BB55" s="83">
        <f t="shared" si="13"/>
        <v>0.63686538318257202</v>
      </c>
      <c r="BC55" s="83">
        <f t="shared" si="14"/>
        <v>140.2705876030688</v>
      </c>
    </row>
    <row r="56" spans="2:55">
      <c r="B56" s="75" t="s">
        <v>326</v>
      </c>
      <c r="C56" s="173">
        <f>(C55/$Q$55)*100</f>
        <v>38.805767500947354</v>
      </c>
      <c r="D56" s="173">
        <f t="shared" ref="D56:O56" si="64">(D55/$Q$55)*100</f>
        <v>21.897353650199054</v>
      </c>
      <c r="E56" s="173">
        <f t="shared" si="64"/>
        <v>11.648623910870208</v>
      </c>
      <c r="F56" s="173">
        <f t="shared" si="64"/>
        <v>6.010301049919982</v>
      </c>
      <c r="G56" s="173">
        <f t="shared" si="64"/>
        <v>4.6087309813177528</v>
      </c>
      <c r="H56" s="173">
        <f t="shared" si="64"/>
        <v>4.5162505199323331</v>
      </c>
      <c r="I56" s="173">
        <f t="shared" si="64"/>
        <v>3.6436889424704577</v>
      </c>
      <c r="J56" s="173">
        <f t="shared" si="64"/>
        <v>3.0264577256900007</v>
      </c>
      <c r="K56" s="173">
        <f t="shared" si="64"/>
        <v>2.65208870382813</v>
      </c>
      <c r="L56" s="173">
        <f t="shared" si="64"/>
        <v>1.7003629454719826</v>
      </c>
      <c r="M56" s="173">
        <f t="shared" si="64"/>
        <v>0.88861533261524406</v>
      </c>
      <c r="N56" s="173">
        <f t="shared" si="64"/>
        <v>0.45704460726641755</v>
      </c>
      <c r="O56" s="173">
        <f t="shared" si="64"/>
        <v>0.14471412947106438</v>
      </c>
      <c r="U56" s="181" t="str">
        <f>$B$9</f>
        <v>Northwood</v>
      </c>
      <c r="V56" s="181" t="s">
        <v>194</v>
      </c>
      <c r="W56" s="87">
        <f>H10</f>
        <v>9.6</v>
      </c>
      <c r="X56" s="108">
        <f>SQRT(((C70-$C$69)^2)+((D70-$D$69)^2))</f>
        <v>8.9490288589989166</v>
      </c>
      <c r="Y56" s="108">
        <f t="shared" si="59"/>
        <v>9.8730799999999999</v>
      </c>
      <c r="Z56" s="172">
        <f t="shared" si="60"/>
        <v>0.8538705111854038</v>
      </c>
      <c r="AA56" s="172">
        <f t="shared" si="61"/>
        <v>80.08511751919545</v>
      </c>
      <c r="AD56" s="75" t="s">
        <v>326</v>
      </c>
      <c r="AE56" s="172">
        <f>(AE55/$AS$55)*100</f>
        <v>39.829389357119787</v>
      </c>
      <c r="AF56" s="172">
        <f t="shared" ref="AF56:AQ56" si="65">(AF55/$AS$55)*100</f>
        <v>22.764484192685767</v>
      </c>
      <c r="AG56" s="172">
        <f t="shared" si="65"/>
        <v>12.289280052917436</v>
      </c>
      <c r="AH56" s="172">
        <f t="shared" si="65"/>
        <v>6.6799902022933235</v>
      </c>
      <c r="AI56" s="172">
        <f t="shared" si="65"/>
        <v>5.1143741316920348</v>
      </c>
      <c r="AJ56" s="172">
        <f t="shared" si="65"/>
        <v>4.57549051495808</v>
      </c>
      <c r="AK56" s="172">
        <f t="shared" si="65"/>
        <v>3.4773569908658342</v>
      </c>
      <c r="AL56" s="172">
        <f t="shared" si="65"/>
        <v>2.8212301614721302</v>
      </c>
      <c r="AM56" s="172">
        <f t="shared" si="65"/>
        <v>1.8445803502765625</v>
      </c>
      <c r="AN56" s="172">
        <f t="shared" si="65"/>
        <v>1.2976111635846352</v>
      </c>
      <c r="AO56" s="172">
        <f t="shared" si="65"/>
        <v>-1.0533095435513764</v>
      </c>
      <c r="AP56" s="172">
        <f t="shared" si="65"/>
        <v>0.36177021486872096</v>
      </c>
      <c r="AQ56" s="172">
        <f t="shared" si="65"/>
        <v>-2.2477891829078746E-3</v>
      </c>
      <c r="AW56" s="75" t="str">
        <f>$B$9</f>
        <v>Northwood</v>
      </c>
      <c r="AX56" s="106" t="str">
        <f t="shared" si="9"/>
        <v>Ryde</v>
      </c>
      <c r="AY56" s="87">
        <f t="shared" si="10"/>
        <v>9.6</v>
      </c>
      <c r="AZ56" s="108">
        <f>SQRT(((AE69-$AE$68)^2)+((AF69-$AF$68)^2))</f>
        <v>9.8702472750785351</v>
      </c>
      <c r="BA56" s="108">
        <f t="shared" si="12"/>
        <v>10.112519999999998</v>
      </c>
      <c r="BB56" s="83">
        <f t="shared" si="13"/>
        <v>5.8696073240870936E-2</v>
      </c>
      <c r="BC56" s="83">
        <f t="shared" si="14"/>
        <v>97.421781271195243</v>
      </c>
    </row>
    <row r="57" spans="2:55">
      <c r="B57" s="85" t="s">
        <v>327</v>
      </c>
      <c r="C57" s="176">
        <f>C56</f>
        <v>38.805767500947354</v>
      </c>
      <c r="D57" s="176">
        <f>C57+D56</f>
        <v>60.703121151146405</v>
      </c>
      <c r="E57" s="176">
        <f t="shared" ref="E57:O57" si="66">D57+E56</f>
        <v>72.351745062016619</v>
      </c>
      <c r="F57" s="176">
        <f t="shared" si="66"/>
        <v>78.362046111936607</v>
      </c>
      <c r="G57" s="176">
        <f t="shared" si="66"/>
        <v>82.970777093254355</v>
      </c>
      <c r="H57" s="176">
        <f t="shared" si="66"/>
        <v>87.487027613186683</v>
      </c>
      <c r="I57" s="176">
        <f t="shared" si="66"/>
        <v>91.130716555657145</v>
      </c>
      <c r="J57" s="176">
        <f t="shared" si="66"/>
        <v>94.157174281347139</v>
      </c>
      <c r="K57" s="176">
        <f t="shared" si="66"/>
        <v>96.809262985175266</v>
      </c>
      <c r="L57" s="176">
        <f t="shared" si="66"/>
        <v>98.509625930647246</v>
      </c>
      <c r="M57" s="176">
        <f t="shared" si="66"/>
        <v>99.398241263262491</v>
      </c>
      <c r="N57" s="176">
        <f t="shared" si="66"/>
        <v>99.855285870528903</v>
      </c>
      <c r="O57" s="177">
        <f t="shared" si="66"/>
        <v>99.999999999999972</v>
      </c>
      <c r="U57" s="181" t="str">
        <f t="shared" ref="U57:U62" si="67">$B$9</f>
        <v>Northwood</v>
      </c>
      <c r="V57" s="181" t="s">
        <v>195</v>
      </c>
      <c r="W57" s="87">
        <f t="shared" ref="W57:W62" si="68">H11</f>
        <v>12.3</v>
      </c>
      <c r="X57" s="108">
        <f t="shared" ref="X57:X62" si="69">SQRT(((C71-$C$69)^2)+((D71-$D$69)^2))</f>
        <v>14.681054340181726</v>
      </c>
      <c r="Y57" s="108">
        <f t="shared" si="59"/>
        <v>12.603590000000002</v>
      </c>
      <c r="Z57" s="172">
        <f t="shared" si="60"/>
        <v>4.3158580847266848</v>
      </c>
      <c r="AA57" s="172">
        <f t="shared" si="61"/>
        <v>215.5333565393687</v>
      </c>
      <c r="AD57" s="85" t="s">
        <v>327</v>
      </c>
      <c r="AE57" s="164">
        <f>AE56</f>
        <v>39.829389357119787</v>
      </c>
      <c r="AF57" s="164">
        <f t="shared" ref="AF57:AQ57" si="70">AE57+AF56</f>
        <v>62.593873549805551</v>
      </c>
      <c r="AG57" s="164">
        <f t="shared" si="70"/>
        <v>74.883153602722984</v>
      </c>
      <c r="AH57" s="164">
        <f t="shared" si="70"/>
        <v>81.56314380501631</v>
      </c>
      <c r="AI57" s="164">
        <f t="shared" si="70"/>
        <v>86.677517936708341</v>
      </c>
      <c r="AJ57" s="164">
        <f t="shared" si="70"/>
        <v>91.253008451666417</v>
      </c>
      <c r="AK57" s="164">
        <f t="shared" si="70"/>
        <v>94.730365442532246</v>
      </c>
      <c r="AL57" s="164">
        <f t="shared" si="70"/>
        <v>97.551595604004376</v>
      </c>
      <c r="AM57" s="164">
        <f t="shared" si="70"/>
        <v>99.396175954280935</v>
      </c>
      <c r="AN57" s="164">
        <f t="shared" si="70"/>
        <v>100.69378711786557</v>
      </c>
      <c r="AO57" s="164">
        <f t="shared" si="70"/>
        <v>99.64047757431419</v>
      </c>
      <c r="AP57" s="164">
        <f t="shared" si="70"/>
        <v>100.00224778918292</v>
      </c>
      <c r="AQ57" s="164">
        <f t="shared" si="70"/>
        <v>100.00000000000001</v>
      </c>
      <c r="AW57" s="75" t="str">
        <f t="shared" ref="AW57:AW62" si="71">$B$9</f>
        <v>Northwood</v>
      </c>
      <c r="AX57" s="106" t="str">
        <f t="shared" si="9"/>
        <v>Sandown</v>
      </c>
      <c r="AY57" s="87">
        <f t="shared" si="10"/>
        <v>12.3</v>
      </c>
      <c r="AZ57" s="108">
        <f t="shared" ref="AZ57:AZ62" si="72">SQRT(((AE70-$AE$68)^2)+((AF70-$AF$68)^2))</f>
        <v>14.872594452641382</v>
      </c>
      <c r="BA57" s="108">
        <f t="shared" si="12"/>
        <v>12.91161</v>
      </c>
      <c r="BB57" s="83">
        <f t="shared" si="13"/>
        <v>3.8454600235012206</v>
      </c>
      <c r="BC57" s="83">
        <f t="shared" si="14"/>
        <v>221.19406575273919</v>
      </c>
    </row>
    <row r="58" spans="2:55">
      <c r="U58" s="181" t="str">
        <f t="shared" si="67"/>
        <v>Northwood</v>
      </c>
      <c r="V58" s="181" t="s">
        <v>196</v>
      </c>
      <c r="W58" s="87">
        <f t="shared" si="68"/>
        <v>13.2</v>
      </c>
      <c r="X58" s="108">
        <f t="shared" si="69"/>
        <v>12.974526505041554</v>
      </c>
      <c r="Y58" s="108">
        <f t="shared" si="59"/>
        <v>13.513760000000001</v>
      </c>
      <c r="Z58" s="172">
        <f t="shared" si="60"/>
        <v>0.29077276208510144</v>
      </c>
      <c r="AA58" s="172">
        <f t="shared" si="61"/>
        <v>168.33833803002582</v>
      </c>
      <c r="AW58" s="75" t="str">
        <f t="shared" si="71"/>
        <v>Northwood</v>
      </c>
      <c r="AX58" s="106" t="str">
        <f t="shared" si="9"/>
        <v>Seaview</v>
      </c>
      <c r="AY58" s="87">
        <f t="shared" si="10"/>
        <v>13.2</v>
      </c>
      <c r="AZ58" s="108">
        <f t="shared" si="72"/>
        <v>13.248478681536056</v>
      </c>
      <c r="BA58" s="108">
        <f t="shared" si="12"/>
        <v>13.844639999999998</v>
      </c>
      <c r="BB58" s="83">
        <f t="shared" si="13"/>
        <v>0.35540831763266545</v>
      </c>
      <c r="BC58" s="83">
        <f t="shared" si="14"/>
        <v>175.52218737511535</v>
      </c>
    </row>
    <row r="59" spans="2:55">
      <c r="U59" s="181" t="str">
        <f t="shared" si="67"/>
        <v>Northwood</v>
      </c>
      <c r="V59" s="181" t="s">
        <v>197</v>
      </c>
      <c r="W59" s="87">
        <f t="shared" si="68"/>
        <v>8.1</v>
      </c>
      <c r="X59" s="108">
        <f t="shared" si="69"/>
        <v>6.4198778131692871</v>
      </c>
      <c r="Y59" s="108">
        <f t="shared" si="59"/>
        <v>8.3561300000000003</v>
      </c>
      <c r="Z59" s="172">
        <f t="shared" si="60"/>
        <v>3.749072531006719</v>
      </c>
      <c r="AA59" s="172">
        <f t="shared" si="61"/>
        <v>41.214831136023271</v>
      </c>
      <c r="AW59" s="75" t="str">
        <f t="shared" si="71"/>
        <v>Northwood</v>
      </c>
      <c r="AX59" s="106" t="str">
        <f t="shared" si="9"/>
        <v>Shalfleet</v>
      </c>
      <c r="AY59" s="87">
        <f t="shared" si="10"/>
        <v>8.1</v>
      </c>
      <c r="AZ59" s="108">
        <f t="shared" si="72"/>
        <v>6.3765965683639818</v>
      </c>
      <c r="BA59" s="108">
        <f t="shared" si="12"/>
        <v>8.5574699999999986</v>
      </c>
      <c r="BB59" s="83">
        <f t="shared" si="13"/>
        <v>4.7562089248158559</v>
      </c>
      <c r="BC59" s="83">
        <f t="shared" si="14"/>
        <v>40.660983795671306</v>
      </c>
    </row>
    <row r="60" spans="2:55" ht="13.5" thickBot="1">
      <c r="U60" s="181" t="str">
        <f t="shared" si="67"/>
        <v>Northwood</v>
      </c>
      <c r="V60" s="181" t="s">
        <v>198</v>
      </c>
      <c r="W60" s="87">
        <f t="shared" si="68"/>
        <v>12.4</v>
      </c>
      <c r="X60" s="108">
        <f t="shared" si="69"/>
        <v>14.558665499089813</v>
      </c>
      <c r="Y60" s="108">
        <f t="shared" si="59"/>
        <v>12.704720000000002</v>
      </c>
      <c r="Z60" s="172">
        <f t="shared" si="60"/>
        <v>3.4371139135953674</v>
      </c>
      <c r="AA60" s="172">
        <f t="shared" si="61"/>
        <v>211.95474111438801</v>
      </c>
      <c r="AD60" s="77" t="s">
        <v>433</v>
      </c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W60" s="75" t="str">
        <f t="shared" si="71"/>
        <v>Northwood</v>
      </c>
      <c r="AX60" s="106" t="str">
        <f t="shared" si="9"/>
        <v>Shanklin</v>
      </c>
      <c r="AY60" s="87">
        <f t="shared" si="10"/>
        <v>12.4</v>
      </c>
      <c r="AZ60" s="108">
        <f t="shared" si="72"/>
        <v>14.757215462272887</v>
      </c>
      <c r="BA60" s="108">
        <f t="shared" si="12"/>
        <v>13.015279999999999</v>
      </c>
      <c r="BB60" s="83">
        <f t="shared" si="13"/>
        <v>3.0343391547238605</v>
      </c>
      <c r="BC60" s="83">
        <f t="shared" si="14"/>
        <v>217.77540819994599</v>
      </c>
    </row>
    <row r="61" spans="2:55" ht="14.25" thickTop="1" thickBot="1">
      <c r="B61" s="77" t="s">
        <v>429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U61" s="181" t="str">
        <f t="shared" si="67"/>
        <v>Northwood</v>
      </c>
      <c r="V61" s="181" t="s">
        <v>199</v>
      </c>
      <c r="W61" s="87">
        <f t="shared" si="68"/>
        <v>14.3</v>
      </c>
      <c r="X61" s="108">
        <f t="shared" si="69"/>
        <v>10.730808299992875</v>
      </c>
      <c r="Y61" s="108">
        <f t="shared" si="59"/>
        <v>14.626190000000003</v>
      </c>
      <c r="Z61" s="172">
        <f t="shared" si="60"/>
        <v>15.173998588750424</v>
      </c>
      <c r="AA61" s="172">
        <f t="shared" si="61"/>
        <v>115.15024677119597</v>
      </c>
      <c r="AE61" s="75" t="s">
        <v>422</v>
      </c>
      <c r="AW61" s="75" t="str">
        <f t="shared" si="71"/>
        <v>Northwood</v>
      </c>
      <c r="AX61" s="106" t="str">
        <f t="shared" si="9"/>
        <v>Totland</v>
      </c>
      <c r="AY61" s="87">
        <f t="shared" si="10"/>
        <v>14.3</v>
      </c>
      <c r="AZ61" s="108">
        <f t="shared" si="72"/>
        <v>10.704208944105996</v>
      </c>
      <c r="BA61" s="108">
        <f t="shared" si="12"/>
        <v>14.985009999999999</v>
      </c>
      <c r="BB61" s="83">
        <f t="shared" si="13"/>
        <v>18.325257680143206</v>
      </c>
      <c r="BC61" s="83">
        <f t="shared" si="14"/>
        <v>114.58008911907881</v>
      </c>
    </row>
    <row r="62" spans="2:55" ht="13.5" thickTop="1">
      <c r="C62" s="75" t="s">
        <v>422</v>
      </c>
      <c r="P62"/>
      <c r="Q62"/>
      <c r="U62" s="181" t="str">
        <f t="shared" si="67"/>
        <v>Northwood</v>
      </c>
      <c r="V62" s="181" t="s">
        <v>200</v>
      </c>
      <c r="W62" s="87">
        <f t="shared" si="68"/>
        <v>13.8</v>
      </c>
      <c r="X62" s="108">
        <f t="shared" si="69"/>
        <v>14.528065992456845</v>
      </c>
      <c r="Y62" s="108">
        <f t="shared" si="59"/>
        <v>14.120540000000002</v>
      </c>
      <c r="Z62" s="172">
        <f t="shared" si="60"/>
        <v>0.16607743452793527</v>
      </c>
      <c r="AA62" s="172">
        <f t="shared" si="61"/>
        <v>211.06470148118112</v>
      </c>
      <c r="AD62" s="85"/>
      <c r="AE62" s="90">
        <v>1</v>
      </c>
      <c r="AF62" s="90">
        <v>2</v>
      </c>
      <c r="AG62" s="90">
        <v>3</v>
      </c>
      <c r="AH62" s="90">
        <v>4</v>
      </c>
      <c r="AI62" s="90">
        <v>5</v>
      </c>
      <c r="AJ62" s="90">
        <v>6</v>
      </c>
      <c r="AK62" s="90">
        <v>7</v>
      </c>
      <c r="AL62" s="90">
        <v>8</v>
      </c>
      <c r="AM62" s="90">
        <v>9</v>
      </c>
      <c r="AN62" s="90">
        <v>10</v>
      </c>
      <c r="AO62" s="90">
        <v>11</v>
      </c>
      <c r="AP62" s="90">
        <v>12</v>
      </c>
      <c r="AQ62" s="90">
        <v>13</v>
      </c>
      <c r="AW62" s="75" t="str">
        <f t="shared" si="71"/>
        <v>Northwood</v>
      </c>
      <c r="AX62" s="106" t="str">
        <f t="shared" si="9"/>
        <v>Ventnor</v>
      </c>
      <c r="AY62" s="87">
        <f t="shared" si="10"/>
        <v>13.8</v>
      </c>
      <c r="AZ62" s="108">
        <f t="shared" si="72"/>
        <v>14.730905718876189</v>
      </c>
      <c r="BA62" s="108">
        <f t="shared" si="12"/>
        <v>14.466659999999999</v>
      </c>
      <c r="BB62" s="83">
        <f t="shared" si="13"/>
        <v>6.9825799944394182E-2</v>
      </c>
      <c r="BC62" s="83">
        <f t="shared" si="14"/>
        <v>216.9995832984192</v>
      </c>
    </row>
    <row r="63" spans="2:55">
      <c r="B63" s="85"/>
      <c r="C63" s="90">
        <v>1</v>
      </c>
      <c r="D63" s="90">
        <v>2</v>
      </c>
      <c r="E63" s="90">
        <v>3</v>
      </c>
      <c r="F63" s="90">
        <v>4</v>
      </c>
      <c r="G63" s="90">
        <v>5</v>
      </c>
      <c r="H63" s="90">
        <v>6</v>
      </c>
      <c r="I63" s="90">
        <v>7</v>
      </c>
      <c r="J63" s="90">
        <v>8</v>
      </c>
      <c r="K63" s="90">
        <v>9</v>
      </c>
      <c r="L63" s="90">
        <v>10</v>
      </c>
      <c r="M63" s="90">
        <v>11</v>
      </c>
      <c r="N63" s="90">
        <v>12</v>
      </c>
      <c r="O63" s="90">
        <v>13</v>
      </c>
      <c r="P63"/>
      <c r="Q63"/>
      <c r="U63" s="181" t="str">
        <f t="shared" ref="U63:U68" si="73">$B$10</f>
        <v>Ryde</v>
      </c>
      <c r="V63" s="181" t="s">
        <v>195</v>
      </c>
      <c r="W63" s="87">
        <f t="shared" ref="W63:W68" si="74">I11</f>
        <v>6.4</v>
      </c>
      <c r="X63" s="108">
        <f t="shared" ref="X63:X68" si="75">SQRT(((C71-$C$70)^2)+((D71-$D$70)^2))</f>
        <v>6.6467858146774166</v>
      </c>
      <c r="Y63" s="108">
        <f t="shared" si="59"/>
        <v>6.6369200000000008</v>
      </c>
      <c r="Z63" s="172">
        <f t="shared" si="60"/>
        <v>9.7334299249112293E-5</v>
      </c>
      <c r="AA63" s="172">
        <f t="shared" si="61"/>
        <v>44.179761666196931</v>
      </c>
      <c r="AD63" s="75" t="s">
        <v>188</v>
      </c>
      <c r="AE63" s="108">
        <f>AE41*$AE$55</f>
        <v>9.8754712338379615</v>
      </c>
      <c r="AF63" s="108">
        <f>AF41*$AF$55</f>
        <v>-1.2578810608773732</v>
      </c>
      <c r="AG63" s="108">
        <f>AG41*$AG$55</f>
        <v>-1.9624571626889806</v>
      </c>
      <c r="AH63" s="108">
        <f>AH41*$AH$55</f>
        <v>-1.2944558919392657</v>
      </c>
      <c r="AI63" s="108">
        <f>AI41*$AI$55</f>
        <v>1.691736046901561</v>
      </c>
      <c r="AJ63" s="108">
        <f>AJ41*$AJ$55</f>
        <v>-1.3955405692952791</v>
      </c>
      <c r="AK63" s="108">
        <f>AK41*$AK$55</f>
        <v>0.72640426023581872</v>
      </c>
      <c r="AL63" s="108">
        <f>AL41*$AL$55</f>
        <v>0.40637204928448123</v>
      </c>
      <c r="AM63" s="108">
        <f>AM41*$AM$55</f>
        <v>0.12460358761440046</v>
      </c>
      <c r="AN63" s="108">
        <f>AN41*$AN$55</f>
        <v>-0.19156983294722504</v>
      </c>
      <c r="AO63" s="108">
        <f>AO41*$AO$55</f>
        <v>0.1328425929942022</v>
      </c>
      <c r="AP63" s="108">
        <f>AP41*$AP$55</f>
        <v>2.7764265396109454E-2</v>
      </c>
      <c r="AQ63" s="108">
        <f>AQ41*$AQ$55</f>
        <v>4.3151702018103146E-4</v>
      </c>
      <c r="AW63" s="75" t="str">
        <f t="shared" ref="AW63:AW68" si="76">$B$10</f>
        <v>Ryde</v>
      </c>
      <c r="AX63" s="106" t="str">
        <f t="shared" si="9"/>
        <v>Sandown</v>
      </c>
      <c r="AY63" s="87">
        <f t="shared" si="10"/>
        <v>6.4</v>
      </c>
      <c r="AZ63" s="108">
        <f t="shared" ref="AZ63:AZ68" si="77">SQRT(((AE70-$AE$69)^2)+((AF70-$AF$69)^2))</f>
        <v>7.2827601397938606</v>
      </c>
      <c r="BA63" s="108">
        <f t="shared" si="12"/>
        <v>6.7950799999999996</v>
      </c>
      <c r="BB63" s="83">
        <f t="shared" si="13"/>
        <v>0.23783191874935986</v>
      </c>
      <c r="BC63" s="83">
        <f t="shared" si="14"/>
        <v>53.038595253770289</v>
      </c>
    </row>
    <row r="64" spans="2:55">
      <c r="B64" s="75" t="s">
        <v>188</v>
      </c>
      <c r="C64" s="108">
        <f>C41*$C$55</f>
        <v>-9.7283269772411458</v>
      </c>
      <c r="D64" s="108">
        <f>D41*$D$55</f>
        <v>1.439711684173016</v>
      </c>
      <c r="E64" s="108">
        <f>E41*$E$55</f>
        <v>-2.2897509591586318</v>
      </c>
      <c r="F64" s="108">
        <f>F41*$F$55</f>
        <v>-0.21420848082318672</v>
      </c>
      <c r="G64" s="108">
        <f>G41*$G$55</f>
        <v>-0.31783479169340734</v>
      </c>
      <c r="H64" s="108">
        <f>H41*$H$55</f>
        <v>0.39208561342933418</v>
      </c>
      <c r="I64" s="108">
        <f>I41*$I$55</f>
        <v>1.9745998560140292</v>
      </c>
      <c r="J64" s="108">
        <f>J41*$J$55</f>
        <v>-0.44933680888521754</v>
      </c>
      <c r="K64" s="108">
        <f>K41*$K$55</f>
        <v>0.48592049620173505</v>
      </c>
      <c r="L64" s="108">
        <f>L41*$L$55</f>
        <v>-0.15504954451225583</v>
      </c>
      <c r="M64" s="108">
        <f>M41*$M$55</f>
        <v>1.647396111953299E-2</v>
      </c>
      <c r="N64" s="108">
        <f>N41*$N$55</f>
        <v>-2.4911934959135299E-2</v>
      </c>
      <c r="O64" s="108">
        <f>O41*$O$55</f>
        <v>9.5096831394663218E-3</v>
      </c>
      <c r="P64"/>
      <c r="Q64"/>
      <c r="U64" s="181" t="str">
        <f t="shared" si="73"/>
        <v>Ryde</v>
      </c>
      <c r="V64" s="181" t="s">
        <v>196</v>
      </c>
      <c r="W64" s="87">
        <f t="shared" si="74"/>
        <v>2.2999999999999998</v>
      </c>
      <c r="X64" s="108">
        <f t="shared" si="75"/>
        <v>4.4829510362723264</v>
      </c>
      <c r="Y64" s="108">
        <f t="shared" si="59"/>
        <v>2.4905900000000001</v>
      </c>
      <c r="Z64" s="172">
        <f t="shared" si="60"/>
        <v>3.969502498856138</v>
      </c>
      <c r="AA64" s="172">
        <f t="shared" si="61"/>
        <v>20.096849993615123</v>
      </c>
      <c r="AD64" s="75" t="s">
        <v>189</v>
      </c>
      <c r="AE64" s="108">
        <f t="shared" ref="AE64:AE75" si="78">AE42*$AE$55</f>
        <v>-3.861562199286626</v>
      </c>
      <c r="AF64" s="108">
        <f t="shared" ref="AF64:AF75" si="79">AF42*$AF$55</f>
        <v>7.4876759781842308</v>
      </c>
      <c r="AG64" s="108">
        <f t="shared" ref="AG64:AG75" si="80">AG42*$AG$55</f>
        <v>1.6152803022962909</v>
      </c>
      <c r="AH64" s="108">
        <f t="shared" ref="AH64:AH75" si="81">AH42*$AH$55</f>
        <v>-0.11632443371915177</v>
      </c>
      <c r="AI64" s="108">
        <f t="shared" ref="AI64:AI75" si="82">AI42*$AI$55</f>
        <v>-0.88083681506249445</v>
      </c>
      <c r="AJ64" s="108">
        <f t="shared" ref="AJ64:AJ75" si="83">AJ42*$AJ$55</f>
        <v>-1.103213485640486</v>
      </c>
      <c r="AK64" s="108">
        <f t="shared" ref="AK64:AK75" si="84">AK42*$AK$55</f>
        <v>0.7670249543041836</v>
      </c>
      <c r="AL64" s="108">
        <f t="shared" ref="AL64:AL75" si="85">AL42*$AL$55</f>
        <v>-0.91244327994906127</v>
      </c>
      <c r="AM64" s="108">
        <f t="shared" ref="AM64:AM75" si="86">AM42*$AM$55</f>
        <v>-0.26822871315565006</v>
      </c>
      <c r="AN64" s="108">
        <f t="shared" ref="AN64:AN75" si="87">AN42*$AN$55</f>
        <v>2.0580798996157224E-2</v>
      </c>
      <c r="AO64" s="108">
        <f t="shared" ref="AO64:AO75" si="88">AO42*$AO$55</f>
        <v>2.2863888478303614E-2</v>
      </c>
      <c r="AP64" s="108">
        <f t="shared" ref="AP64:AP75" si="89">AP42*$AP$55</f>
        <v>7.5877076077872391E-2</v>
      </c>
      <c r="AQ64" s="108">
        <f t="shared" ref="AQ64:AQ75" si="90">AQ42*$AQ$55</f>
        <v>4.3434984385239735E-4</v>
      </c>
      <c r="AW64" s="75" t="str">
        <f t="shared" si="76"/>
        <v>Ryde</v>
      </c>
      <c r="AX64" s="106" t="str">
        <f t="shared" si="9"/>
        <v>Seaview</v>
      </c>
      <c r="AY64" s="87">
        <f t="shared" si="10"/>
        <v>2.2999999999999998</v>
      </c>
      <c r="AZ64" s="108">
        <f t="shared" si="77"/>
        <v>3.424106175442855</v>
      </c>
      <c r="BA64" s="108">
        <f t="shared" si="12"/>
        <v>2.54461</v>
      </c>
      <c r="BB64" s="83">
        <f t="shared" si="13"/>
        <v>0.77351352261860917</v>
      </c>
      <c r="BC64" s="83">
        <f t="shared" si="14"/>
        <v>11.724503100705896</v>
      </c>
    </row>
    <row r="65" spans="2:55">
      <c r="B65" s="75" t="s">
        <v>189</v>
      </c>
      <c r="C65" s="108">
        <f t="shared" ref="C65:C76" si="91">C42*$C$55</f>
        <v>3.6551889237263699</v>
      </c>
      <c r="D65" s="108">
        <f t="shared" ref="D65:D76" si="92">D42*$D$55</f>
        <v>-7.3515529590457911</v>
      </c>
      <c r="E65" s="108">
        <f t="shared" ref="E65:E76" si="93">E42*$E$55</f>
        <v>1.8208460359925176</v>
      </c>
      <c r="F65" s="108">
        <f t="shared" ref="F65:F76" si="94">F42*$F$55</f>
        <v>-0.48419166457740132</v>
      </c>
      <c r="G65" s="108">
        <f t="shared" ref="G65:G76" si="95">G42*$G$55</f>
        <v>1.1699036483571743</v>
      </c>
      <c r="H65" s="108">
        <f t="shared" ref="H65:H76" si="96">H42*$H$55</f>
        <v>0.62567823421255186</v>
      </c>
      <c r="I65" s="108">
        <f t="shared" ref="I65:I76" si="97">I42*$I$55</f>
        <v>0.97709957844383355</v>
      </c>
      <c r="J65" s="108">
        <f t="shared" ref="J65:J76" si="98">J42*$J$55</f>
        <v>8.8862056226710839E-2</v>
      </c>
      <c r="K65" s="108">
        <f t="shared" ref="K65:K76" si="99">K42*$K$55</f>
        <v>-0.84335372017344534</v>
      </c>
      <c r="L65" s="108">
        <f t="shared" ref="L65:L76" si="100">L42*$L$55</f>
        <v>0.24015478727821324</v>
      </c>
      <c r="M65" s="108">
        <f t="shared" ref="M65:M76" si="101">M42*$M$55</f>
        <v>0.11514165840243139</v>
      </c>
      <c r="N65" s="108">
        <f t="shared" ref="N65:N76" si="102">N42*$N$55</f>
        <v>-8.5669029894598916E-2</v>
      </c>
      <c r="O65" s="108">
        <f t="shared" ref="O65:O76" si="103">O42*$O$55</f>
        <v>-7.5308414073570933E-3</v>
      </c>
      <c r="P65"/>
      <c r="Q65"/>
      <c r="U65" s="181" t="str">
        <f t="shared" si="73"/>
        <v>Ryde</v>
      </c>
      <c r="V65" s="181" t="s">
        <v>197</v>
      </c>
      <c r="W65" s="87">
        <f t="shared" si="74"/>
        <v>12.3</v>
      </c>
      <c r="X65" s="108">
        <f t="shared" si="75"/>
        <v>14.250810869538899</v>
      </c>
      <c r="Y65" s="108">
        <f t="shared" si="59"/>
        <v>12.603590000000002</v>
      </c>
      <c r="Z65" s="172">
        <f t="shared" si="60"/>
        <v>2.7133365930444793</v>
      </c>
      <c r="AA65" s="172">
        <f t="shared" si="61"/>
        <v>203.08561043936803</v>
      </c>
      <c r="AD65" s="75" t="s">
        <v>190</v>
      </c>
      <c r="AE65" s="108">
        <f t="shared" si="78"/>
        <v>-8.5976958569079898</v>
      </c>
      <c r="AF65" s="108">
        <f t="shared" si="79"/>
        <v>3.4157022879833847</v>
      </c>
      <c r="AG65" s="108">
        <f t="shared" si="80"/>
        <v>-0.90482879905649738</v>
      </c>
      <c r="AH65" s="108">
        <f t="shared" si="81"/>
        <v>2.2742874027381768</v>
      </c>
      <c r="AI65" s="108">
        <f t="shared" si="82"/>
        <v>3.030155424127029E-2</v>
      </c>
      <c r="AJ65" s="108">
        <f t="shared" si="83"/>
        <v>-1.1753168410144765</v>
      </c>
      <c r="AK65" s="108">
        <f t="shared" si="84"/>
        <v>-0.38819451369175828</v>
      </c>
      <c r="AL65" s="108">
        <f t="shared" si="85"/>
        <v>0.71315586343277393</v>
      </c>
      <c r="AM65" s="108">
        <f t="shared" si="86"/>
        <v>-0.21052724813554846</v>
      </c>
      <c r="AN65" s="108">
        <f t="shared" si="87"/>
        <v>-8.7339564660428678E-2</v>
      </c>
      <c r="AO65" s="108">
        <f t="shared" si="88"/>
        <v>5.6052277603380177E-2</v>
      </c>
      <c r="AP65" s="108">
        <f t="shared" si="89"/>
        <v>-0.10834848919100525</v>
      </c>
      <c r="AQ65" s="108">
        <f t="shared" si="90"/>
        <v>4.2947440523246889E-4</v>
      </c>
      <c r="AW65" s="75" t="str">
        <f t="shared" si="76"/>
        <v>Ryde</v>
      </c>
      <c r="AX65" s="106" t="str">
        <f t="shared" si="9"/>
        <v>Shalfleet</v>
      </c>
      <c r="AY65" s="87">
        <f t="shared" si="10"/>
        <v>12.3</v>
      </c>
      <c r="AZ65" s="108">
        <f t="shared" si="77"/>
        <v>15.535823867004972</v>
      </c>
      <c r="BA65" s="108">
        <f t="shared" si="12"/>
        <v>12.91161</v>
      </c>
      <c r="BB65" s="83">
        <f t="shared" si="13"/>
        <v>6.8864984197811889</v>
      </c>
      <c r="BC65" s="83">
        <f t="shared" si="14"/>
        <v>241.3618232266013</v>
      </c>
    </row>
    <row r="66" spans="2:55">
      <c r="B66" s="75" t="s">
        <v>190</v>
      </c>
      <c r="C66" s="108">
        <f t="shared" si="91"/>
        <v>8.4425882681691675</v>
      </c>
      <c r="D66" s="108">
        <f t="shared" si="92"/>
        <v>-3.567525882022109</v>
      </c>
      <c r="E66" s="108">
        <f t="shared" si="93"/>
        <v>-0.57059471332422984</v>
      </c>
      <c r="F66" s="108">
        <f t="shared" si="94"/>
        <v>2.1819943142738625</v>
      </c>
      <c r="G66" s="108">
        <f t="shared" si="95"/>
        <v>1.0349475569789395</v>
      </c>
      <c r="H66" s="108">
        <f t="shared" si="96"/>
        <v>0.17091726840508831</v>
      </c>
      <c r="I66" s="108">
        <f t="shared" si="97"/>
        <v>4.4033950230817159E-2</v>
      </c>
      <c r="J66" s="108">
        <f t="shared" si="98"/>
        <v>-0.30223101087006704</v>
      </c>
      <c r="K66" s="108">
        <f t="shared" si="99"/>
        <v>0.69903261269884809</v>
      </c>
      <c r="L66" s="108">
        <f t="shared" si="100"/>
        <v>0.18361745100648255</v>
      </c>
      <c r="M66" s="108">
        <f t="shared" si="101"/>
        <v>-8.1688866271879434E-2</v>
      </c>
      <c r="N66" s="108">
        <f t="shared" si="102"/>
        <v>4.8183807492515624E-3</v>
      </c>
      <c r="O66" s="108">
        <f t="shared" si="103"/>
        <v>5.1136290839723715E-2</v>
      </c>
      <c r="P66"/>
      <c r="Q66"/>
      <c r="U66" s="181" t="str">
        <f t="shared" si="73"/>
        <v>Ryde</v>
      </c>
      <c r="V66" s="181" t="s">
        <v>198</v>
      </c>
      <c r="W66" s="87">
        <f t="shared" si="74"/>
        <v>8.6</v>
      </c>
      <c r="X66" s="108">
        <f t="shared" si="75"/>
        <v>7.4889705965826368</v>
      </c>
      <c r="Y66" s="108">
        <f t="shared" si="59"/>
        <v>8.8617800000000013</v>
      </c>
      <c r="Z66" s="172">
        <f t="shared" si="60"/>
        <v>1.8846056581111403</v>
      </c>
      <c r="AA66" s="172">
        <f t="shared" si="61"/>
        <v>56.084680596479295</v>
      </c>
      <c r="AD66" s="75" t="s">
        <v>191</v>
      </c>
      <c r="AE66" s="108">
        <f t="shared" si="78"/>
        <v>-4.0542770728349673</v>
      </c>
      <c r="AF66" s="108">
        <f t="shared" si="79"/>
        <v>-6.176669920649883</v>
      </c>
      <c r="AG66" s="108">
        <f t="shared" si="80"/>
        <v>3.3288090835199435</v>
      </c>
      <c r="AH66" s="108">
        <f t="shared" si="81"/>
        <v>-1.5477647238925447</v>
      </c>
      <c r="AI66" s="108">
        <f t="shared" si="82"/>
        <v>-0.46752241322219795</v>
      </c>
      <c r="AJ66" s="108">
        <f t="shared" si="83"/>
        <v>-0.54156445070365589</v>
      </c>
      <c r="AK66" s="108">
        <f t="shared" si="84"/>
        <v>-0.80290752485067862</v>
      </c>
      <c r="AL66" s="108">
        <f t="shared" si="85"/>
        <v>-0.1896777725970705</v>
      </c>
      <c r="AM66" s="108">
        <f t="shared" si="86"/>
        <v>8.6893603358598435E-3</v>
      </c>
      <c r="AN66" s="108">
        <f t="shared" si="87"/>
        <v>0.12725150732890858</v>
      </c>
      <c r="AO66" s="108">
        <f t="shared" si="88"/>
        <v>0.38227973475414861</v>
      </c>
      <c r="AP66" s="108">
        <f t="shared" si="89"/>
        <v>-3.6424015481995073E-2</v>
      </c>
      <c r="AQ66" s="108">
        <f t="shared" si="90"/>
        <v>4.3052754478370387E-4</v>
      </c>
      <c r="AW66" s="75" t="str">
        <f t="shared" si="76"/>
        <v>Ryde</v>
      </c>
      <c r="AX66" s="106" t="str">
        <f t="shared" si="9"/>
        <v>Shanklin</v>
      </c>
      <c r="AY66" s="87">
        <f>W66</f>
        <v>8.6</v>
      </c>
      <c r="AZ66" s="108">
        <f t="shared" si="77"/>
        <v>8.5312208680140618</v>
      </c>
      <c r="BA66" s="108">
        <f t="shared" si="12"/>
        <v>9.0758199999999984</v>
      </c>
      <c r="BB66" s="83">
        <f t="shared" si="13"/>
        <v>0.29658821455983569</v>
      </c>
      <c r="BC66" s="83">
        <f t="shared" si="14"/>
        <v>72.781729498838601</v>
      </c>
    </row>
    <row r="67" spans="2:55">
      <c r="B67" s="75" t="s">
        <v>191</v>
      </c>
      <c r="C67" s="108">
        <f t="shared" si="91"/>
        <v>4.0320813874514627</v>
      </c>
      <c r="D67" s="108">
        <f t="shared" si="92"/>
        <v>6.1930211362151937</v>
      </c>
      <c r="E67" s="108">
        <f t="shared" si="93"/>
        <v>2.9203359723636848</v>
      </c>
      <c r="F67" s="108">
        <f t="shared" si="94"/>
        <v>-1.4446906963863868</v>
      </c>
      <c r="G67" s="108">
        <f t="shared" si="95"/>
        <v>0.52402241377264269</v>
      </c>
      <c r="H67" s="108">
        <f t="shared" si="96"/>
        <v>0.81831007879941153</v>
      </c>
      <c r="I67" s="108">
        <f t="shared" si="97"/>
        <v>-5.7100185926327054E-2</v>
      </c>
      <c r="J67" s="108">
        <f t="shared" si="98"/>
        <v>-0.89968804015244308</v>
      </c>
      <c r="K67" s="108">
        <f t="shared" si="99"/>
        <v>-9.0774868251711077E-2</v>
      </c>
      <c r="L67" s="108">
        <f t="shared" si="100"/>
        <v>-2.4938747944484758E-2</v>
      </c>
      <c r="M67" s="108">
        <f t="shared" si="101"/>
        <v>0.17543149063248792</v>
      </c>
      <c r="N67" s="108">
        <f t="shared" si="102"/>
        <v>8.7478856436689192E-2</v>
      </c>
      <c r="O67" s="108">
        <f t="shared" si="103"/>
        <v>3.5983878906794955E-2</v>
      </c>
      <c r="P67"/>
      <c r="Q67"/>
      <c r="U67" s="181" t="str">
        <f t="shared" si="73"/>
        <v>Ryde</v>
      </c>
      <c r="V67" s="181" t="s">
        <v>199</v>
      </c>
      <c r="W67" s="87">
        <f t="shared" si="74"/>
        <v>18.7</v>
      </c>
      <c r="X67" s="108">
        <f t="shared" si="75"/>
        <v>17.972832794440762</v>
      </c>
      <c r="Y67" s="108">
        <f t="shared" si="59"/>
        <v>19.07591</v>
      </c>
      <c r="Z67" s="172">
        <f t="shared" si="60"/>
        <v>1.2167793214243772</v>
      </c>
      <c r="AA67" s="172">
        <f t="shared" si="61"/>
        <v>323.02271865692535</v>
      </c>
      <c r="AD67" s="75" t="s">
        <v>192</v>
      </c>
      <c r="AE67" s="108">
        <f t="shared" si="78"/>
        <v>-2.5670321980596293</v>
      </c>
      <c r="AF67" s="108">
        <f t="shared" si="79"/>
        <v>-2.4844488791341557</v>
      </c>
      <c r="AG67" s="108">
        <f t="shared" si="80"/>
        <v>1.6543426763735867</v>
      </c>
      <c r="AH67" s="108">
        <f t="shared" si="81"/>
        <v>1.2735379804887632</v>
      </c>
      <c r="AI67" s="108">
        <f t="shared" si="82"/>
        <v>0.34564768164898779</v>
      </c>
      <c r="AJ67" s="108">
        <f t="shared" si="83"/>
        <v>0.30925786055949567</v>
      </c>
      <c r="AK67" s="108">
        <f t="shared" si="84"/>
        <v>1.1632906192905239</v>
      </c>
      <c r="AL67" s="108">
        <f t="shared" si="85"/>
        <v>7.4904752765891064E-2</v>
      </c>
      <c r="AM67" s="108">
        <f t="shared" si="86"/>
        <v>0.60513522058721869</v>
      </c>
      <c r="AN67" s="108">
        <f t="shared" si="87"/>
        <v>0.47588384316259386</v>
      </c>
      <c r="AO67" s="108">
        <f t="shared" si="88"/>
        <v>-5.0121561239598787E-2</v>
      </c>
      <c r="AP67" s="108">
        <f t="shared" si="89"/>
        <v>-2.785367320197308E-2</v>
      </c>
      <c r="AQ67" s="108">
        <f t="shared" si="90"/>
        <v>4.3130271180374154E-4</v>
      </c>
      <c r="AW67" s="75" t="str">
        <f t="shared" si="76"/>
        <v>Ryde</v>
      </c>
      <c r="AX67" s="106" t="str">
        <f t="shared" si="9"/>
        <v>Totland</v>
      </c>
      <c r="AY67" s="87">
        <f t="shared" si="10"/>
        <v>18.7</v>
      </c>
      <c r="AZ67" s="108">
        <f t="shared" si="77"/>
        <v>19.412784818014412</v>
      </c>
      <c r="BA67" s="108">
        <f t="shared" si="12"/>
        <v>19.546489999999999</v>
      </c>
      <c r="BB67" s="83">
        <f t="shared" si="13"/>
        <v>1.7877075689798821E-2</v>
      </c>
      <c r="BC67" s="83">
        <f t="shared" si="14"/>
        <v>376.85621439053085</v>
      </c>
    </row>
    <row r="68" spans="2:55">
      <c r="B68" s="75" t="s">
        <v>192</v>
      </c>
      <c r="C68" s="108">
        <f t="shared" si="91"/>
        <v>2.5723994405860768</v>
      </c>
      <c r="D68" s="108">
        <f t="shared" si="92"/>
        <v>2.4071638775367008</v>
      </c>
      <c r="E68" s="108">
        <f t="shared" si="93"/>
        <v>1.6634264524300875</v>
      </c>
      <c r="F68" s="108">
        <f t="shared" si="94"/>
        <v>1.1118882853672214</v>
      </c>
      <c r="G68" s="108">
        <f t="shared" si="95"/>
        <v>-0.35780270266138625</v>
      </c>
      <c r="H68" s="108">
        <f t="shared" si="96"/>
        <v>-0.18189554366681279</v>
      </c>
      <c r="I68" s="108">
        <f t="shared" si="97"/>
        <v>0.35843285865268826</v>
      </c>
      <c r="J68" s="108">
        <f t="shared" si="98"/>
        <v>1.1802219516184389</v>
      </c>
      <c r="K68" s="108">
        <f t="shared" si="99"/>
        <v>-5.6521184248934618E-2</v>
      </c>
      <c r="L68" s="108">
        <f t="shared" si="100"/>
        <v>-0.51402668546200103</v>
      </c>
      <c r="M68" s="108">
        <f t="shared" si="101"/>
        <v>0.29206804266989422</v>
      </c>
      <c r="N68" s="108">
        <f t="shared" si="102"/>
        <v>-3.4724046721368661E-2</v>
      </c>
      <c r="O68" s="108">
        <f t="shared" si="103"/>
        <v>2.8385776130025287E-2</v>
      </c>
      <c r="P68"/>
      <c r="Q68"/>
      <c r="U68" s="181" t="str">
        <f t="shared" si="73"/>
        <v>Ryde</v>
      </c>
      <c r="V68" s="181" t="s">
        <v>200</v>
      </c>
      <c r="W68" s="87">
        <f t="shared" si="74"/>
        <v>11.8</v>
      </c>
      <c r="X68" s="108">
        <f t="shared" si="75"/>
        <v>9.4889798882770897</v>
      </c>
      <c r="Y68" s="108">
        <f>(W68*1.0113)+0.1646</f>
        <v>12.097940000000001</v>
      </c>
      <c r="Z68" s="172">
        <f>(X68-Y68)^2</f>
        <v>6.8066728645612269</v>
      </c>
      <c r="AA68" s="172">
        <f>X68^2</f>
        <v>90.040739320127088</v>
      </c>
      <c r="AD68" s="75" t="s">
        <v>193</v>
      </c>
      <c r="AE68" s="108">
        <f t="shared" si="78"/>
        <v>-4.1663373423309205</v>
      </c>
      <c r="AF68" s="108">
        <f t="shared" si="79"/>
        <v>-4.9016707610932144</v>
      </c>
      <c r="AG68" s="108">
        <f t="shared" si="80"/>
        <v>4.0641349653780825</v>
      </c>
      <c r="AH68" s="108">
        <f t="shared" si="81"/>
        <v>-0.10131872456572155</v>
      </c>
      <c r="AI68" s="108">
        <f t="shared" si="82"/>
        <v>0.29753812292204124</v>
      </c>
      <c r="AJ68" s="108">
        <f t="shared" si="83"/>
        <v>0.52073055970389726</v>
      </c>
      <c r="AK68" s="108">
        <f t="shared" si="84"/>
        <v>0.44080734600261323</v>
      </c>
      <c r="AL68" s="108">
        <f t="shared" si="85"/>
        <v>0.4690974646348714</v>
      </c>
      <c r="AM68" s="108">
        <f t="shared" si="86"/>
        <v>-0.44682839897916898</v>
      </c>
      <c r="AN68" s="108">
        <f t="shared" si="87"/>
        <v>-0.33483507156354159</v>
      </c>
      <c r="AO68" s="108">
        <f t="shared" si="88"/>
        <v>-0.30311956382845395</v>
      </c>
      <c r="AP68" s="108">
        <f t="shared" si="89"/>
        <v>3.1524622589181782E-2</v>
      </c>
      <c r="AQ68" s="108">
        <f t="shared" si="90"/>
        <v>4.3113734712282175E-4</v>
      </c>
      <c r="AW68" s="75" t="str">
        <f t="shared" si="76"/>
        <v>Ryde</v>
      </c>
      <c r="AX68" s="106" t="str">
        <f t="shared" si="9"/>
        <v>Ventnor</v>
      </c>
      <c r="AY68" s="87">
        <f t="shared" si="10"/>
        <v>11.8</v>
      </c>
      <c r="AZ68" s="108">
        <f t="shared" si="77"/>
        <v>10.95139280796421</v>
      </c>
      <c r="BA68" s="108">
        <f t="shared" si="12"/>
        <v>12.39326</v>
      </c>
      <c r="BB68" s="83">
        <f t="shared" si="13"/>
        <v>2.0789809994691741</v>
      </c>
      <c r="BC68" s="83">
        <f t="shared" si="14"/>
        <v>119.93300443433021</v>
      </c>
    </row>
    <row r="69" spans="2:55">
      <c r="B69" s="75" t="s">
        <v>193</v>
      </c>
      <c r="C69" s="108">
        <f t="shared" si="91"/>
        <v>4.1485675310207508</v>
      </c>
      <c r="D69" s="108">
        <f t="shared" si="92"/>
        <v>4.8766227539866502</v>
      </c>
      <c r="E69" s="108">
        <f t="shared" si="93"/>
        <v>3.8573036235052909</v>
      </c>
      <c r="F69" s="108">
        <f t="shared" si="94"/>
        <v>-0.25527894236369986</v>
      </c>
      <c r="G69" s="108">
        <f t="shared" si="95"/>
        <v>-0.65899113339243476</v>
      </c>
      <c r="H69" s="108">
        <f t="shared" si="96"/>
        <v>-0.15997381920446638</v>
      </c>
      <c r="I69" s="108">
        <f t="shared" si="97"/>
        <v>0.33282497931628946</v>
      </c>
      <c r="J69" s="108">
        <f t="shared" si="98"/>
        <v>0.16374477247276337</v>
      </c>
      <c r="K69" s="108">
        <f t="shared" si="99"/>
        <v>0.45831414005568982</v>
      </c>
      <c r="L69" s="108">
        <f t="shared" si="100"/>
        <v>0.39334933530596083</v>
      </c>
      <c r="M69" s="108">
        <f t="shared" si="101"/>
        <v>-0.1839081576886972</v>
      </c>
      <c r="N69" s="108">
        <f t="shared" si="102"/>
        <v>-0.17870178701388861</v>
      </c>
      <c r="O69" s="108">
        <f t="shared" si="103"/>
        <v>-1.2368272300729846E-3</v>
      </c>
      <c r="P69"/>
      <c r="Q69"/>
      <c r="U69" s="181" t="str">
        <f>$B$11</f>
        <v>Sandown</v>
      </c>
      <c r="V69" s="181" t="s">
        <v>196</v>
      </c>
      <c r="W69" s="87">
        <f>J12</f>
        <v>6.6</v>
      </c>
      <c r="X69" s="108">
        <f>SQRT(((C72-$C$71)^2)+((D72-$D$71)^2))</f>
        <v>6.7535136223889687</v>
      </c>
      <c r="Y69" s="108">
        <f t="shared" ref="Y69:Y78" si="104">(W69*1.0113)+0.1646</f>
        <v>6.8391800000000007</v>
      </c>
      <c r="Z69" s="172">
        <f t="shared" ref="Z69:Z78" si="105">(X69-Y69)^2</f>
        <v>7.3387282529959281E-3</v>
      </c>
      <c r="AA69" s="172">
        <f t="shared" ref="AA69:AA78" si="106">X69^2</f>
        <v>45.609946247793367</v>
      </c>
      <c r="AD69" s="75" t="s">
        <v>194</v>
      </c>
      <c r="AE69" s="108">
        <f t="shared" si="78"/>
        <v>5.6799563177718397</v>
      </c>
      <c r="AF69" s="108">
        <f t="shared" si="79"/>
        <v>-4.214442683803397</v>
      </c>
      <c r="AG69" s="108">
        <f t="shared" si="80"/>
        <v>-2.3286519491025568</v>
      </c>
      <c r="AH69" s="108">
        <f t="shared" si="81"/>
        <v>1.9193509894219918</v>
      </c>
      <c r="AI69" s="108">
        <f t="shared" si="82"/>
        <v>-1.3778185572980501</v>
      </c>
      <c r="AJ69" s="108">
        <f t="shared" si="83"/>
        <v>0.92024255211473893</v>
      </c>
      <c r="AK69" s="108">
        <f t="shared" si="84"/>
        <v>0.33838765841160107</v>
      </c>
      <c r="AL69" s="108">
        <f t="shared" si="85"/>
        <v>-5.6558497597077269E-2</v>
      </c>
      <c r="AM69" s="108">
        <f t="shared" si="86"/>
        <v>-3.6765347853051036E-2</v>
      </c>
      <c r="AN69" s="108">
        <f t="shared" si="87"/>
        <v>-0.25291408664001963</v>
      </c>
      <c r="AO69" s="108">
        <f t="shared" si="88"/>
        <v>0.29628155733781875</v>
      </c>
      <c r="AP69" s="108">
        <f t="shared" si="89"/>
        <v>6.1687895320449659E-2</v>
      </c>
      <c r="AQ69" s="108">
        <f t="shared" si="90"/>
        <v>4.3155562685847753E-4</v>
      </c>
      <c r="AW69" s="75" t="str">
        <f>$B$11</f>
        <v>Sandown</v>
      </c>
      <c r="AX69" s="106" t="str">
        <f t="shared" si="9"/>
        <v>Seaview</v>
      </c>
      <c r="AY69" s="87">
        <f t="shared" si="10"/>
        <v>6.6</v>
      </c>
      <c r="AZ69" s="108">
        <f>SQRT(((AE71-$AE$70)^2)+((AF71-$AF$70)^2))</f>
        <v>6.9907906183643584</v>
      </c>
      <c r="BA69" s="108">
        <f t="shared" si="12"/>
        <v>7.002419999999999</v>
      </c>
      <c r="BB69" s="83">
        <f t="shared" si="13"/>
        <v>1.3524251722737331E-4</v>
      </c>
      <c r="BC69" s="83">
        <f t="shared" si="14"/>
        <v>48.871153469811127</v>
      </c>
    </row>
    <row r="70" spans="2:55">
      <c r="B70" s="75" t="s">
        <v>194</v>
      </c>
      <c r="C70" s="108">
        <f t="shared" si="91"/>
        <v>-4.6108988874237253</v>
      </c>
      <c r="D70" s="108">
        <f t="shared" si="92"/>
        <v>3.0444476577311175</v>
      </c>
      <c r="E70" s="108">
        <f t="shared" si="93"/>
        <v>-1.3362699103284588</v>
      </c>
      <c r="F70" s="108">
        <f t="shared" si="94"/>
        <v>0.59600664267692038</v>
      </c>
      <c r="G70" s="108">
        <f t="shared" si="95"/>
        <v>0.25072903277196901</v>
      </c>
      <c r="H70" s="108">
        <f t="shared" si="96"/>
        <v>2.7033141731209462</v>
      </c>
      <c r="I70" s="108">
        <f t="shared" si="97"/>
        <v>-0.52918418151310509</v>
      </c>
      <c r="J70" s="108">
        <f t="shared" si="98"/>
        <v>0.47929258245361045</v>
      </c>
      <c r="K70" s="108">
        <f t="shared" si="99"/>
        <v>-7.5799263811567638E-2</v>
      </c>
      <c r="L70" s="108">
        <f t="shared" si="100"/>
        <v>1.8492638484415964E-2</v>
      </c>
      <c r="M70" s="108">
        <f t="shared" si="101"/>
        <v>-7.5812022714984259E-2</v>
      </c>
      <c r="N70" s="108">
        <f t="shared" si="102"/>
        <v>-4.9238852367872177E-2</v>
      </c>
      <c r="O70" s="108">
        <f t="shared" si="103"/>
        <v>-4.4091328631742852E-3</v>
      </c>
      <c r="P70"/>
      <c r="Q70"/>
      <c r="U70" s="181" t="str">
        <f>$B$11</f>
        <v>Sandown</v>
      </c>
      <c r="V70" s="181" t="s">
        <v>197</v>
      </c>
      <c r="W70" s="87">
        <f>J13</f>
        <v>15</v>
      </c>
      <c r="X70" s="108">
        <f>SQRT(((C73-$C$71)^2)+((D73-$D$71)^2))</f>
        <v>18.619531811938916</v>
      </c>
      <c r="Y70" s="108">
        <f t="shared" si="104"/>
        <v>15.334100000000001</v>
      </c>
      <c r="Z70" s="172">
        <f>(X70-Y70)^2</f>
        <v>10.794062190900224</v>
      </c>
      <c r="AA70" s="172">
        <f t="shared" si="106"/>
        <v>346.68696489580532</v>
      </c>
      <c r="AD70" s="75" t="s">
        <v>195</v>
      </c>
      <c r="AE70" s="108">
        <f t="shared" si="78"/>
        <v>8.8129862977806219</v>
      </c>
      <c r="AF70" s="108">
        <f t="shared" si="79"/>
        <v>2.3599560262032044</v>
      </c>
      <c r="AG70" s="108">
        <f t="shared" si="80"/>
        <v>-2.5011096614601082E-2</v>
      </c>
      <c r="AH70" s="108">
        <f t="shared" si="81"/>
        <v>-0.21475729287130185</v>
      </c>
      <c r="AI70" s="108">
        <f t="shared" si="82"/>
        <v>0.85823605673829417</v>
      </c>
      <c r="AJ70" s="108">
        <f t="shared" si="83"/>
        <v>1.1751299460191666</v>
      </c>
      <c r="AK70" s="108">
        <f t="shared" si="84"/>
        <v>0.14954351939076957</v>
      </c>
      <c r="AL70" s="108">
        <f t="shared" si="85"/>
        <v>-0.79789600263613714</v>
      </c>
      <c r="AM70" s="108">
        <f t="shared" si="86"/>
        <v>-0.34044478357632924</v>
      </c>
      <c r="AN70" s="108">
        <f t="shared" si="87"/>
        <v>-3.8169806850296535E-2</v>
      </c>
      <c r="AO70" s="108">
        <f t="shared" si="88"/>
        <v>1.7179083721247386E-2</v>
      </c>
      <c r="AP70" s="108">
        <f t="shared" si="89"/>
        <v>-0.14959316515086549</v>
      </c>
      <c r="AQ70" s="108">
        <f t="shared" si="90"/>
        <v>4.2964493758023396E-4</v>
      </c>
      <c r="AW70" s="75" t="str">
        <f>$B$11</f>
        <v>Sandown</v>
      </c>
      <c r="AX70" s="106" t="str">
        <f t="shared" si="9"/>
        <v>Shalfleet</v>
      </c>
      <c r="AY70" s="87">
        <f t="shared" si="10"/>
        <v>15</v>
      </c>
      <c r="AZ70" s="108">
        <f>SQRT(((AE72-$AE$70)^2)+((AF72-$AF$70)^2))</f>
        <v>18.878600847379097</v>
      </c>
      <c r="BA70" s="108">
        <f t="shared" si="12"/>
        <v>15.710699999999999</v>
      </c>
      <c r="BB70" s="83">
        <f t="shared" si="13"/>
        <v>10.035595778825206</v>
      </c>
      <c r="BC70" s="83">
        <f t="shared" si="14"/>
        <v>356.40156995466276</v>
      </c>
    </row>
    <row r="71" spans="2:55">
      <c r="B71" s="75" t="s">
        <v>195</v>
      </c>
      <c r="C71" s="108">
        <f t="shared" si="91"/>
        <v>-8.7293726409870551</v>
      </c>
      <c r="D71" s="108">
        <f t="shared" si="92"/>
        <v>-2.1726334809331931</v>
      </c>
      <c r="E71" s="108">
        <f t="shared" si="93"/>
        <v>-5.9307243112990467E-2</v>
      </c>
      <c r="F71" s="108">
        <f t="shared" si="94"/>
        <v>-8.4908918009739168E-2</v>
      </c>
      <c r="G71" s="108">
        <f t="shared" si="95"/>
        <v>-1.3980463163191124</v>
      </c>
      <c r="H71" s="108">
        <f t="shared" si="96"/>
        <v>-8.4725128195543606E-2</v>
      </c>
      <c r="I71" s="108">
        <f t="shared" si="97"/>
        <v>-0.13248524682659887</v>
      </c>
      <c r="J71" s="108">
        <f t="shared" si="98"/>
        <v>0.11546518553025854</v>
      </c>
      <c r="K71" s="108">
        <f t="shared" si="99"/>
        <v>-0.76950241562462751</v>
      </c>
      <c r="L71" s="108">
        <f t="shared" si="100"/>
        <v>0.32367782638207593</v>
      </c>
      <c r="M71" s="108">
        <f t="shared" si="101"/>
        <v>-0.10627473694693344</v>
      </c>
      <c r="N71" s="108">
        <f t="shared" si="102"/>
        <v>1.2203002330982069E-2</v>
      </c>
      <c r="O71" s="108">
        <f t="shared" si="103"/>
        <v>6.3633665077692039E-2</v>
      </c>
      <c r="P71"/>
      <c r="Q71"/>
      <c r="U71" s="181" t="str">
        <f>$B$11</f>
        <v>Sandown</v>
      </c>
      <c r="V71" s="181" t="s">
        <v>198</v>
      </c>
      <c r="W71" s="87">
        <f>J14</f>
        <v>2.2000000000000002</v>
      </c>
      <c r="X71" s="108">
        <f>SQRT(((C74-$C$71)^2)+((D74-$D$71)^2))</f>
        <v>2.1001141007697139</v>
      </c>
      <c r="Y71" s="108">
        <f t="shared" si="104"/>
        <v>2.3894600000000006</v>
      </c>
      <c r="Z71" s="172">
        <f t="shared" si="105"/>
        <v>8.3721049401383196E-2</v>
      </c>
      <c r="AA71" s="172">
        <f t="shared" si="106"/>
        <v>4.410479236251784</v>
      </c>
      <c r="AD71" s="75" t="s">
        <v>196</v>
      </c>
      <c r="AE71" s="108">
        <f t="shared" si="78"/>
        <v>9.0792680187707333</v>
      </c>
      <c r="AF71" s="108">
        <f t="shared" si="79"/>
        <v>-4.6257613682293579</v>
      </c>
      <c r="AG71" s="108">
        <f t="shared" si="80"/>
        <v>-2.2136619616934299</v>
      </c>
      <c r="AH71" s="108">
        <f t="shared" si="81"/>
        <v>-0.25399272412758084</v>
      </c>
      <c r="AI71" s="108">
        <f t="shared" si="82"/>
        <v>-1.3645947962872986</v>
      </c>
      <c r="AJ71" s="108">
        <f t="shared" si="83"/>
        <v>-0.97669689687921113</v>
      </c>
      <c r="AK71" s="108">
        <f t="shared" si="84"/>
        <v>-0.5003921476879114</v>
      </c>
      <c r="AL71" s="108">
        <f t="shared" si="85"/>
        <v>-0.18847572339723209</v>
      </c>
      <c r="AM71" s="108">
        <f t="shared" si="86"/>
        <v>-6.4389365819294483E-2</v>
      </c>
      <c r="AN71" s="108">
        <f t="shared" si="87"/>
        <v>0.20692269041045555</v>
      </c>
      <c r="AO71" s="108">
        <f t="shared" si="88"/>
        <v>-0.3988156687929385</v>
      </c>
      <c r="AP71" s="108">
        <f t="shared" si="89"/>
        <v>-2.0594208463390887E-2</v>
      </c>
      <c r="AQ71" s="108">
        <f t="shared" si="90"/>
        <v>4.3292628051811398E-4</v>
      </c>
      <c r="AW71" s="75" t="str">
        <f>$B$11</f>
        <v>Sandown</v>
      </c>
      <c r="AX71" s="106" t="str">
        <f t="shared" ref="AX71:AY83" si="107">V71</f>
        <v>Shanklin</v>
      </c>
      <c r="AY71" s="87">
        <f t="shared" si="107"/>
        <v>2.2000000000000002</v>
      </c>
      <c r="AZ71" s="108">
        <f>SQRT(((AE73-$AE$70)^2)+((AF73-$AF$70)^2))</f>
        <v>2.1851959266851555</v>
      </c>
      <c r="BA71" s="108">
        <f t="shared" ref="BA71:BA83" si="108">(AY71*1.0367)+0.1602</f>
        <v>2.4409400000000003</v>
      </c>
      <c r="BB71" s="83">
        <f t="shared" ref="BB71:BB83" si="109">(AZ71-BA71)^2</f>
        <v>6.5405031035668734E-2</v>
      </c>
      <c r="BC71" s="83">
        <f t="shared" ref="BC71:BC83" si="110">AZ71^2</f>
        <v>4.7750812380013956</v>
      </c>
    </row>
    <row r="72" spans="2:55">
      <c r="B72" s="75" t="s">
        <v>196</v>
      </c>
      <c r="C72" s="108">
        <f t="shared" si="91"/>
        <v>-8.8225732639076835</v>
      </c>
      <c r="D72" s="108">
        <f t="shared" si="92"/>
        <v>4.5802370118039946</v>
      </c>
      <c r="E72" s="108">
        <f t="shared" si="93"/>
        <v>-2.3342299636985828</v>
      </c>
      <c r="F72" s="108">
        <f t="shared" si="94"/>
        <v>-0.29480614546904904</v>
      </c>
      <c r="G72" s="108">
        <f t="shared" si="95"/>
        <v>1.6725811179242198</v>
      </c>
      <c r="H72" s="108">
        <f t="shared" si="96"/>
        <v>-1.0289177478559643</v>
      </c>
      <c r="I72" s="108">
        <f t="shared" si="97"/>
        <v>-0.53755749927413354</v>
      </c>
      <c r="J72" s="108">
        <f t="shared" si="98"/>
        <v>-6.9384407004459067E-2</v>
      </c>
      <c r="K72" s="108">
        <f t="shared" si="99"/>
        <v>-0.21001822859939015</v>
      </c>
      <c r="L72" s="108">
        <f t="shared" si="100"/>
        <v>7.9062338892617712E-2</v>
      </c>
      <c r="M72" s="108">
        <f t="shared" si="101"/>
        <v>9.205695593972979E-2</v>
      </c>
      <c r="N72" s="108">
        <f t="shared" si="102"/>
        <v>-0.14732907698713391</v>
      </c>
      <c r="O72" s="108">
        <f t="shared" si="103"/>
        <v>1.9217001801942992E-2</v>
      </c>
      <c r="P72"/>
      <c r="Q72"/>
      <c r="U72" s="181" t="str">
        <f>$B$11</f>
        <v>Sandown</v>
      </c>
      <c r="V72" s="181" t="s">
        <v>199</v>
      </c>
      <c r="W72" s="87">
        <f>J15</f>
        <v>21.2</v>
      </c>
      <c r="X72" s="108">
        <f>SQRT(((C75-$C$71)^2)+((D75-$D$71)^2))</f>
        <v>21.516970702948164</v>
      </c>
      <c r="Y72" s="108">
        <f t="shared" si="104"/>
        <v>21.60416</v>
      </c>
      <c r="Z72" s="172">
        <f t="shared" si="105"/>
        <v>7.6019735203932941E-3</v>
      </c>
      <c r="AA72" s="172">
        <f t="shared" si="106"/>
        <v>462.98002823152962</v>
      </c>
      <c r="AD72" s="75" t="s">
        <v>197</v>
      </c>
      <c r="AE72" s="108">
        <f t="shared" si="78"/>
        <v>-9.6392925610448614</v>
      </c>
      <c r="AF72" s="108">
        <f t="shared" si="79"/>
        <v>-1.6294016753328233</v>
      </c>
      <c r="AG72" s="108">
        <f t="shared" si="80"/>
        <v>-1.6510886457723419</v>
      </c>
      <c r="AH72" s="108">
        <f t="shared" si="81"/>
        <v>0.68325964555584495</v>
      </c>
      <c r="AI72" s="108">
        <f t="shared" si="82"/>
        <v>1.4178466406866506</v>
      </c>
      <c r="AJ72" s="108">
        <f t="shared" si="83"/>
        <v>0.14021868323065181</v>
      </c>
      <c r="AK72" s="108">
        <f t="shared" si="84"/>
        <v>-0.90586208625969</v>
      </c>
      <c r="AL72" s="108">
        <f t="shared" si="85"/>
        <v>-0.86588830343877765</v>
      </c>
      <c r="AM72" s="108">
        <f t="shared" si="86"/>
        <v>0.40954413134267215</v>
      </c>
      <c r="AN72" s="108">
        <f t="shared" si="87"/>
        <v>-0.19134219929592239</v>
      </c>
      <c r="AO72" s="108">
        <f t="shared" si="88"/>
        <v>-0.12703623738091682</v>
      </c>
      <c r="AP72" s="108">
        <f t="shared" si="89"/>
        <v>5.6355716024458484E-2</v>
      </c>
      <c r="AQ72" s="108">
        <f t="shared" si="90"/>
        <v>4.3530526099441947E-4</v>
      </c>
      <c r="AW72" s="75" t="str">
        <f>$B$11</f>
        <v>Sandown</v>
      </c>
      <c r="AX72" s="106" t="str">
        <f t="shared" si="107"/>
        <v>Totland</v>
      </c>
      <c r="AY72" s="87">
        <f t="shared" si="107"/>
        <v>21.2</v>
      </c>
      <c r="AZ72" s="108">
        <f>SQRT(((AE74-$AE$70)^2)+((AF74-$AF$70)^2))</f>
        <v>21.807404093401185</v>
      </c>
      <c r="BA72" s="108">
        <f t="shared" si="108"/>
        <v>22.13824</v>
      </c>
      <c r="BB72" s="83">
        <f t="shared" si="109"/>
        <v>0.10945239709505933</v>
      </c>
      <c r="BC72" s="83">
        <f t="shared" si="110"/>
        <v>475.5628732928908</v>
      </c>
    </row>
    <row r="73" spans="2:55">
      <c r="B73" s="75" t="s">
        <v>197</v>
      </c>
      <c r="C73" s="108">
        <f t="shared" si="91"/>
        <v>9.5445208454845627</v>
      </c>
      <c r="D73" s="108">
        <f t="shared" si="92"/>
        <v>1.3983302182515858</v>
      </c>
      <c r="E73" s="108">
        <f t="shared" si="93"/>
        <v>-1.5921324016689413</v>
      </c>
      <c r="F73" s="108">
        <f t="shared" si="94"/>
        <v>1.1272937312508371</v>
      </c>
      <c r="G73" s="108">
        <f t="shared" si="95"/>
        <v>-0.92412472231537468</v>
      </c>
      <c r="H73" s="108">
        <f t="shared" si="96"/>
        <v>9.0336152819577298E-2</v>
      </c>
      <c r="I73" s="108">
        <f t="shared" si="97"/>
        <v>-9.9139035246467985E-2</v>
      </c>
      <c r="J73" s="108">
        <f t="shared" si="98"/>
        <v>-1.0582818553242823</v>
      </c>
      <c r="K73" s="108">
        <f t="shared" si="99"/>
        <v>-0.71702869804155889</v>
      </c>
      <c r="L73" s="108">
        <f t="shared" si="100"/>
        <v>-0.40870277813866196</v>
      </c>
      <c r="M73" s="108">
        <f t="shared" si="101"/>
        <v>-1.9322123684927996E-2</v>
      </c>
      <c r="N73" s="108">
        <f t="shared" si="102"/>
        <v>-0.12125441639798526</v>
      </c>
      <c r="O73" s="108">
        <f t="shared" si="103"/>
        <v>-4.1762089849056187E-3</v>
      </c>
      <c r="P73"/>
      <c r="Q73"/>
      <c r="U73" s="181" t="str">
        <f>$B$11</f>
        <v>Sandown</v>
      </c>
      <c r="V73" s="181" t="s">
        <v>200</v>
      </c>
      <c r="W73" s="87">
        <f>J16</f>
        <v>5.0999999999999996</v>
      </c>
      <c r="X73" s="108">
        <f>SQRT(((C76-$C$71)^2)+((D76-$D$71)^2))</f>
        <v>5.6893164840690185</v>
      </c>
      <c r="Y73" s="108">
        <f t="shared" si="104"/>
        <v>5.3222300000000002</v>
      </c>
      <c r="Z73" s="172">
        <f t="shared" si="105"/>
        <v>0.13475248678615356</v>
      </c>
      <c r="AA73" s="172">
        <f t="shared" si="106"/>
        <v>32.368322055899455</v>
      </c>
      <c r="AD73" s="75" t="s">
        <v>198</v>
      </c>
      <c r="AE73" s="108">
        <f t="shared" si="78"/>
        <v>7.5141655850571984</v>
      </c>
      <c r="AF73" s="108">
        <f t="shared" si="79"/>
        <v>4.1172681766767658</v>
      </c>
      <c r="AG73" s="108">
        <f t="shared" si="80"/>
        <v>0.9024184522322739</v>
      </c>
      <c r="AH73" s="108">
        <f t="shared" si="81"/>
        <v>0.57443332699360083</v>
      </c>
      <c r="AI73" s="108">
        <f t="shared" si="82"/>
        <v>0.86861718181627245</v>
      </c>
      <c r="AJ73" s="108">
        <f t="shared" si="83"/>
        <v>0.64544911620295287</v>
      </c>
      <c r="AK73" s="108">
        <f t="shared" si="84"/>
        <v>-0.91581075431112613</v>
      </c>
      <c r="AL73" s="108">
        <f t="shared" si="85"/>
        <v>0.50269984980959359</v>
      </c>
      <c r="AM73" s="108">
        <f t="shared" si="86"/>
        <v>-0.31953042742208215</v>
      </c>
      <c r="AN73" s="108">
        <f t="shared" si="87"/>
        <v>0.39741928709323915</v>
      </c>
      <c r="AO73" s="108">
        <f t="shared" si="88"/>
        <v>4.3626480251582556E-2</v>
      </c>
      <c r="AP73" s="108">
        <f t="shared" si="89"/>
        <v>0.10594113090553149</v>
      </c>
      <c r="AQ73" s="108">
        <f t="shared" si="90"/>
        <v>4.3348923609252065E-4</v>
      </c>
      <c r="AW73" s="75" t="str">
        <f>$B$11</f>
        <v>Sandown</v>
      </c>
      <c r="AX73" s="106" t="str">
        <f t="shared" si="107"/>
        <v>Ventnor</v>
      </c>
      <c r="AY73" s="87">
        <f t="shared" si="107"/>
        <v>5.0999999999999996</v>
      </c>
      <c r="AZ73" s="108">
        <f>SQRT(((AE75-$AE$70)^2)+((AF75-$AF$70)^2))</f>
        <v>5.8506792471196514</v>
      </c>
      <c r="BA73" s="108">
        <f t="shared" si="108"/>
        <v>5.4473699999999994</v>
      </c>
      <c r="BB73" s="83">
        <f t="shared" si="109"/>
        <v>0.16265834881222052</v>
      </c>
      <c r="BC73" s="83">
        <f t="shared" si="110"/>
        <v>34.230447652676574</v>
      </c>
    </row>
    <row r="74" spans="2:55">
      <c r="B74" s="75" t="s">
        <v>198</v>
      </c>
      <c r="C74" s="108">
        <f t="shared" si="91"/>
        <v>-7.4908097794617818</v>
      </c>
      <c r="D74" s="108">
        <f t="shared" si="92"/>
        <v>-3.8686409320672119</v>
      </c>
      <c r="E74" s="108">
        <f t="shared" si="93"/>
        <v>0.92583385484365099</v>
      </c>
      <c r="F74" s="108">
        <f t="shared" si="94"/>
        <v>0.70979385574015419</v>
      </c>
      <c r="G74" s="108">
        <f t="shared" si="95"/>
        <v>-0.90835993623705291</v>
      </c>
      <c r="H74" s="108">
        <f t="shared" si="96"/>
        <v>0.29013738970753461</v>
      </c>
      <c r="I74" s="108">
        <f t="shared" si="97"/>
        <v>-0.63504415265579273</v>
      </c>
      <c r="J74" s="108">
        <f t="shared" si="98"/>
        <v>-0.58617841498371004</v>
      </c>
      <c r="K74" s="108">
        <f t="shared" si="99"/>
        <v>0.51793952707012669</v>
      </c>
      <c r="L74" s="108">
        <f t="shared" si="100"/>
        <v>0.30082055380014788</v>
      </c>
      <c r="M74" s="108">
        <f t="shared" si="101"/>
        <v>0.38660439273507802</v>
      </c>
      <c r="N74" s="108">
        <f t="shared" si="102"/>
        <v>-6.2892466626701671E-2</v>
      </c>
      <c r="O74" s="108">
        <f t="shared" si="103"/>
        <v>-1.241271201311712E-2</v>
      </c>
      <c r="P74"/>
      <c r="Q74"/>
      <c r="U74" s="181" t="str">
        <f>$B$12</f>
        <v>Seaview</v>
      </c>
      <c r="V74" s="181" t="s">
        <v>197</v>
      </c>
      <c r="W74" s="87">
        <f>K13</f>
        <v>16.3</v>
      </c>
      <c r="X74" s="108">
        <f>SQRT(((C73-$C$72)^2)+((D73-$D$72)^2))</f>
        <v>18.640672650581212</v>
      </c>
      <c r="Y74" s="108">
        <f t="shared" si="104"/>
        <v>16.648790000000002</v>
      </c>
      <c r="Z74" s="172">
        <f t="shared" si="105"/>
        <v>3.967596493686429</v>
      </c>
      <c r="AA74" s="172">
        <f t="shared" si="106"/>
        <v>347.4746768661264</v>
      </c>
      <c r="AD74" s="75" t="s">
        <v>199</v>
      </c>
      <c r="AE74" s="108">
        <f t="shared" si="78"/>
        <v>-12.963379184328421</v>
      </c>
      <c r="AF74" s="108">
        <f t="shared" si="79"/>
        <v>1.1968654525587177</v>
      </c>
      <c r="AG74" s="108">
        <f t="shared" si="80"/>
        <v>-4.2244895090252541</v>
      </c>
      <c r="AH74" s="108">
        <f t="shared" si="81"/>
        <v>-2.2244636905592534</v>
      </c>
      <c r="AI74" s="108">
        <f t="shared" si="82"/>
        <v>-0.40119623233570156</v>
      </c>
      <c r="AJ74" s="108">
        <f t="shared" si="83"/>
        <v>0.97041830792264083</v>
      </c>
      <c r="AK74" s="108">
        <f t="shared" si="84"/>
        <v>0.34732893415295935</v>
      </c>
      <c r="AL74" s="108">
        <f t="shared" si="85"/>
        <v>0.40850891076699136</v>
      </c>
      <c r="AM74" s="108">
        <f t="shared" si="86"/>
        <v>-0.1766980685415212</v>
      </c>
      <c r="AN74" s="108">
        <f t="shared" si="87"/>
        <v>0.15216146421623852</v>
      </c>
      <c r="AO74" s="108">
        <f t="shared" si="88"/>
        <v>5.2614598977101233E-4</v>
      </c>
      <c r="AP74" s="108">
        <f t="shared" si="89"/>
        <v>2.8423548301055053E-4</v>
      </c>
      <c r="AQ74" s="108">
        <f t="shared" si="90"/>
        <v>4.303542899473884E-4</v>
      </c>
      <c r="AW74" s="75" t="str">
        <f>$B$12</f>
        <v>Seaview</v>
      </c>
      <c r="AX74" s="106" t="str">
        <f t="shared" si="107"/>
        <v>Shalfleet</v>
      </c>
      <c r="AY74" s="87">
        <f t="shared" si="107"/>
        <v>16.3</v>
      </c>
      <c r="AZ74" s="108">
        <f>SQRT(((AE72-$AE$71)^2)+((AF72-$AF$71)^2))</f>
        <v>18.956863706569223</v>
      </c>
      <c r="BA74" s="108">
        <f t="shared" si="108"/>
        <v>17.058409999999999</v>
      </c>
      <c r="BB74" s="83">
        <f t="shared" si="109"/>
        <v>3.6041264759864267</v>
      </c>
      <c r="BC74" s="83">
        <f t="shared" si="110"/>
        <v>359.36268158944142</v>
      </c>
    </row>
    <row r="75" spans="2:55">
      <c r="B75" s="75" t="s">
        <v>199</v>
      </c>
      <c r="C75" s="108">
        <f t="shared" si="91"/>
        <v>12.777170452419281</v>
      </c>
      <c r="D75" s="108">
        <f t="shared" si="92"/>
        <v>-1.5028332099673865</v>
      </c>
      <c r="E75" s="108">
        <f t="shared" si="93"/>
        <v>-4.0777708543722921</v>
      </c>
      <c r="F75" s="108">
        <f t="shared" si="94"/>
        <v>-2.1843259545876377</v>
      </c>
      <c r="G75" s="108">
        <f t="shared" si="95"/>
        <v>-0.6286061320591102</v>
      </c>
      <c r="H75" s="108">
        <f t="shared" si="96"/>
        <v>0.24024134353277957</v>
      </c>
      <c r="I75" s="108">
        <f t="shared" si="97"/>
        <v>-0.13715427575074571</v>
      </c>
      <c r="J75" s="108">
        <f t="shared" si="98"/>
        <v>0.41019550033235946</v>
      </c>
      <c r="K75" s="108">
        <f t="shared" si="99"/>
        <v>0.35559651646929469</v>
      </c>
      <c r="L75" s="108">
        <f t="shared" si="100"/>
        <v>0.17413583651938747</v>
      </c>
      <c r="M75" s="108">
        <f t="shared" si="101"/>
        <v>0.12760856950931579</v>
      </c>
      <c r="N75" s="108">
        <f t="shared" si="102"/>
        <v>-5.0196250495027461E-2</v>
      </c>
      <c r="O75" s="108">
        <f t="shared" si="103"/>
        <v>1.742289510094857E-2</v>
      </c>
      <c r="P75"/>
      <c r="Q75"/>
      <c r="U75" s="75" t="str">
        <f>$B$12</f>
        <v>Seaview</v>
      </c>
      <c r="V75" s="75" t="s">
        <v>198</v>
      </c>
      <c r="W75" s="87">
        <f>K14</f>
        <v>8.4</v>
      </c>
      <c r="X75" s="108">
        <f>SQRT(((C74-$C$72)^2)+((D74-$D$72)^2))</f>
        <v>8.5531942857003322</v>
      </c>
      <c r="Y75" s="108">
        <f t="shared" si="104"/>
        <v>8.6595200000000006</v>
      </c>
      <c r="Z75" s="172">
        <f t="shared" si="105"/>
        <v>1.1305157521334689E-2</v>
      </c>
      <c r="AA75" s="172">
        <f t="shared" si="106"/>
        <v>73.15713248893681</v>
      </c>
      <c r="AD75" s="85" t="s">
        <v>200</v>
      </c>
      <c r="AE75" s="167">
        <f t="shared" si="78"/>
        <v>4.8995032610585207</v>
      </c>
      <c r="AF75" s="167">
        <f t="shared" si="79"/>
        <v>6.7091051583858352</v>
      </c>
      <c r="AG75" s="167">
        <f t="shared" si="80"/>
        <v>1.7550882988351106</v>
      </c>
      <c r="AH75" s="167">
        <f t="shared" si="81"/>
        <v>-0.98175365874043019</v>
      </c>
      <c r="AI75" s="167">
        <f t="shared" si="82"/>
        <v>-1.0256163987081703</v>
      </c>
      <c r="AJ75" s="167">
        <f t="shared" si="83"/>
        <v>0.52047876412332694</v>
      </c>
      <c r="AK75" s="167">
        <f t="shared" si="84"/>
        <v>-0.41355583873288032</v>
      </c>
      <c r="AL75" s="167">
        <f t="shared" si="85"/>
        <v>0.45079538549519599</v>
      </c>
      <c r="AM75" s="167">
        <f t="shared" si="86"/>
        <v>0.71487407066408615</v>
      </c>
      <c r="AN75" s="167">
        <f t="shared" si="87"/>
        <v>-0.28595614716285983</v>
      </c>
      <c r="AO75" s="167">
        <f t="shared" si="88"/>
        <v>-6.9846449916509942E-2</v>
      </c>
      <c r="AP75" s="167">
        <f t="shared" si="89"/>
        <v>-1.933821300415945E-2</v>
      </c>
      <c r="AQ75" s="167">
        <f t="shared" si="90"/>
        <v>4.2993741832402204E-4</v>
      </c>
      <c r="AW75" s="75" t="str">
        <f>$B$12</f>
        <v>Seaview</v>
      </c>
      <c r="AX75" s="106" t="str">
        <f t="shared" si="107"/>
        <v>Shanklin</v>
      </c>
      <c r="AY75" s="87">
        <f t="shared" si="107"/>
        <v>8.4</v>
      </c>
      <c r="AZ75" s="108">
        <f>SQRT(((AE73-$AE$71)^2)+((AF73-$AF$71)^2))</f>
        <v>8.882010541038408</v>
      </c>
      <c r="BA75" s="108">
        <f t="shared" si="108"/>
        <v>8.8684799999999999</v>
      </c>
      <c r="BB75" s="83">
        <f t="shared" si="109"/>
        <v>1.830755407920462E-4</v>
      </c>
      <c r="BC75" s="83">
        <f t="shared" si="110"/>
        <v>78.890111251117389</v>
      </c>
    </row>
    <row r="76" spans="2:55">
      <c r="B76" s="85" t="s">
        <v>200</v>
      </c>
      <c r="C76" s="167">
        <f t="shared" si="91"/>
        <v>-4.9643467227877025</v>
      </c>
      <c r="D76" s="167">
        <f t="shared" si="92"/>
        <v>-6.4379472901606656</v>
      </c>
      <c r="E76" s="167">
        <f t="shared" si="93"/>
        <v>1.8550831783461017</v>
      </c>
      <c r="F76" s="167">
        <f t="shared" si="94"/>
        <v>-1.4425074457225271</v>
      </c>
      <c r="G76" s="167">
        <f t="shared" si="95"/>
        <v>0.16280163891367666</v>
      </c>
      <c r="H76" s="167">
        <f t="shared" si="96"/>
        <v>0.24063365294659184</v>
      </c>
      <c r="I76" s="167">
        <f t="shared" si="97"/>
        <v>-0.5632719229581723</v>
      </c>
      <c r="J76" s="167">
        <f t="shared" si="98"/>
        <v>-0.169665728040897</v>
      </c>
      <c r="K76" s="167">
        <f t="shared" si="99"/>
        <v>0.44748830180157612</v>
      </c>
      <c r="L76" s="167">
        <f t="shared" si="100"/>
        <v>-0.68331532781711402</v>
      </c>
      <c r="M76" s="167">
        <f t="shared" si="101"/>
        <v>-0.14466768424498211</v>
      </c>
      <c r="N76" s="167">
        <f t="shared" si="102"/>
        <v>-8.3656037440091105E-2</v>
      </c>
      <c r="O76" s="167">
        <f t="shared" si="103"/>
        <v>1.9277954765699348E-2</v>
      </c>
      <c r="P76"/>
      <c r="Q76"/>
      <c r="U76" s="75" t="str">
        <f>$B$12</f>
        <v>Seaview</v>
      </c>
      <c r="V76" s="75" t="s">
        <v>199</v>
      </c>
      <c r="W76" s="87">
        <f>K15</f>
        <v>22.4</v>
      </c>
      <c r="X76" s="108">
        <f>SQRT(((C75-$C$72)^2)+((D75-$D$72)^2))</f>
        <v>22.439979321158205</v>
      </c>
      <c r="Y76" s="108">
        <f t="shared" si="104"/>
        <v>22.817720000000001</v>
      </c>
      <c r="Z76" s="172">
        <f t="shared" si="105"/>
        <v>0.1426880204518611</v>
      </c>
      <c r="AA76" s="172">
        <f t="shared" si="106"/>
        <v>503.55267193400783</v>
      </c>
      <c r="AW76" s="75" t="str">
        <f>$B$12</f>
        <v>Seaview</v>
      </c>
      <c r="AX76" s="106" t="str">
        <f t="shared" si="107"/>
        <v>Totland</v>
      </c>
      <c r="AY76" s="87">
        <f t="shared" si="107"/>
        <v>22.4</v>
      </c>
      <c r="AZ76" s="108">
        <f>SQRT(((AE74-$AE$71)^2)+((AF74-$AF$71)^2))</f>
        <v>22.798712218334956</v>
      </c>
      <c r="BA76" s="108">
        <f t="shared" si="108"/>
        <v>23.382279999999998</v>
      </c>
      <c r="BB76" s="83">
        <f t="shared" si="109"/>
        <v>0.3405513557974586</v>
      </c>
      <c r="BC76" s="83">
        <f t="shared" si="110"/>
        <v>519.78127881445562</v>
      </c>
    </row>
    <row r="77" spans="2:55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/>
      <c r="Q77"/>
      <c r="U77" s="75" t="str">
        <f>$B$12</f>
        <v>Seaview</v>
      </c>
      <c r="V77" s="75" t="s">
        <v>200</v>
      </c>
      <c r="W77" s="87">
        <f>K16</f>
        <v>12</v>
      </c>
      <c r="X77" s="108">
        <f>SQRT(((C76-$C$72)^2)+((D76-$D$72)^2))</f>
        <v>11.674172234238414</v>
      </c>
      <c r="Y77" s="108">
        <f t="shared" si="104"/>
        <v>12.3002</v>
      </c>
      <c r="Z77" s="172">
        <f t="shared" si="105"/>
        <v>0.39191076350444348</v>
      </c>
      <c r="AA77" s="172">
        <f t="shared" si="106"/>
        <v>136.28629735466313</v>
      </c>
      <c r="AW77" s="75" t="str">
        <f>$B$12</f>
        <v>Seaview</v>
      </c>
      <c r="AX77" s="106" t="str">
        <f t="shared" si="107"/>
        <v>Ventnor</v>
      </c>
      <c r="AY77" s="87">
        <f t="shared" si="107"/>
        <v>12</v>
      </c>
      <c r="AZ77" s="108">
        <f>SQRT(((AE75-$AE$71)^2)+((AF75-$AF$71)^2))</f>
        <v>12.080961576215472</v>
      </c>
      <c r="BA77" s="108">
        <f t="shared" si="108"/>
        <v>12.6006</v>
      </c>
      <c r="BB77" s="83">
        <f t="shared" si="109"/>
        <v>0.27002409147326867</v>
      </c>
      <c r="BC77" s="83">
        <f t="shared" si="110"/>
        <v>145.94963260599462</v>
      </c>
    </row>
    <row r="78" spans="2:5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U78" s="75" t="str">
        <f>$B$13</f>
        <v>Shalfleet</v>
      </c>
      <c r="V78" s="75" t="s">
        <v>198</v>
      </c>
      <c r="W78" s="87">
        <f>L14</f>
        <v>15.1</v>
      </c>
      <c r="X78" s="108">
        <f>SQRT(((C74-$C$73)^2)+((D74-$D$73)^2))</f>
        <v>17.830969536161664</v>
      </c>
      <c r="Y78" s="108">
        <f t="shared" si="104"/>
        <v>15.435230000000001</v>
      </c>
      <c r="Z78" s="172">
        <f t="shared" si="105"/>
        <v>5.7395679251281022</v>
      </c>
      <c r="AA78" s="172">
        <f t="shared" si="106"/>
        <v>317.9434745995253</v>
      </c>
      <c r="AW78" s="75" t="str">
        <f>$B$13</f>
        <v>Shalfleet</v>
      </c>
      <c r="AX78" s="106" t="str">
        <f t="shared" si="107"/>
        <v>Shanklin</v>
      </c>
      <c r="AY78" s="87">
        <f t="shared" si="107"/>
        <v>15.1</v>
      </c>
      <c r="AZ78" s="108">
        <f>SQRT(((AE73-$AE$72)^2)+((AF73-$AF$72)^2))</f>
        <v>18.090476521033686</v>
      </c>
      <c r="BA78" s="108">
        <f t="shared" si="108"/>
        <v>15.814369999999998</v>
      </c>
      <c r="BB78" s="83">
        <f t="shared" si="109"/>
        <v>5.1806608950920774</v>
      </c>
      <c r="BC78" s="83">
        <f t="shared" si="110"/>
        <v>327.26534075807109</v>
      </c>
    </row>
    <row r="79" spans="2:5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U79" s="75" t="str">
        <f>$B$13</f>
        <v>Shalfleet</v>
      </c>
      <c r="V79" s="75" t="s">
        <v>199</v>
      </c>
      <c r="W79" s="87">
        <f>L15</f>
        <v>6.3</v>
      </c>
      <c r="X79" s="108">
        <f>SQRT(((C75-$C$73)^2)+((D75-$D$73)^2))</f>
        <v>4.3435898423366872</v>
      </c>
      <c r="Y79" s="108">
        <f>(W79*1.0113)+0.1646</f>
        <v>6.5357900000000004</v>
      </c>
      <c r="Z79" s="172">
        <f>(X79-Y79)^2</f>
        <v>4.8057415312590557</v>
      </c>
      <c r="AA79" s="172">
        <f>X79^2</f>
        <v>18.866772718450449</v>
      </c>
      <c r="AW79" s="75" t="str">
        <f>$B$13</f>
        <v>Shalfleet</v>
      </c>
      <c r="AX79" s="106" t="str">
        <f t="shared" si="107"/>
        <v>Totland</v>
      </c>
      <c r="AY79" s="87">
        <f t="shared" si="107"/>
        <v>6.3</v>
      </c>
      <c r="AZ79" s="108">
        <f>SQRT(((AE74-$AE$72)^2)+((AF74-$AF$72)^2))</f>
        <v>4.3631797759538848</v>
      </c>
      <c r="BA79" s="108">
        <f t="shared" si="108"/>
        <v>6.6914099999999994</v>
      </c>
      <c r="BB79" s="83">
        <f t="shared" si="109"/>
        <v>5.4206559761618207</v>
      </c>
      <c r="BC79" s="83">
        <f t="shared" si="110"/>
        <v>19.037337757292992</v>
      </c>
    </row>
    <row r="80" spans="2:5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U80" s="75" t="str">
        <f>$B$13</f>
        <v>Shalfleet</v>
      </c>
      <c r="V80" s="75" t="s">
        <v>200</v>
      </c>
      <c r="W80" s="87">
        <f>L16</f>
        <v>16.5</v>
      </c>
      <c r="X80" s="108">
        <f>SQRT(((C76-$C$73)^2)+((D76-$D$73)^2))</f>
        <v>16.489829692950455</v>
      </c>
      <c r="Y80" s="108">
        <f>(W80*1.0113)+0.1646</f>
        <v>16.851050000000001</v>
      </c>
      <c r="Z80" s="172">
        <f>(X80-Y80)^2</f>
        <v>0.13048011022496836</v>
      </c>
      <c r="AA80" s="172">
        <f>X80^2</f>
        <v>271.91448330251046</v>
      </c>
      <c r="AW80" s="75" t="str">
        <f>$B$13</f>
        <v>Shalfleet</v>
      </c>
      <c r="AX80" s="106" t="str">
        <f t="shared" si="107"/>
        <v>Ventnor</v>
      </c>
      <c r="AY80" s="87">
        <f t="shared" si="107"/>
        <v>16.5</v>
      </c>
      <c r="AZ80" s="108">
        <f>SQRT(((AE75-$AE$72)^2)+((AF75-$AF$72)^2))</f>
        <v>16.760288785482892</v>
      </c>
      <c r="BA80" s="108">
        <f t="shared" si="108"/>
        <v>17.265750000000001</v>
      </c>
      <c r="BB80" s="83">
        <f t="shared" si="109"/>
        <v>0.25549103938111034</v>
      </c>
      <c r="BC80" s="83">
        <f t="shared" si="110"/>
        <v>280.9072801727836</v>
      </c>
    </row>
    <row r="81" spans="2:5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U81" s="75" t="str">
        <f>$B$14</f>
        <v>Shanklin</v>
      </c>
      <c r="V81" s="75" t="s">
        <v>199</v>
      </c>
      <c r="W81" s="87">
        <f>M15</f>
        <v>21.4</v>
      </c>
      <c r="X81" s="108">
        <f>SQRT(((C75-$C$74)^2)+((D75-$D$74)^2))</f>
        <v>20.405589157333061</v>
      </c>
      <c r="Y81" s="108">
        <f>(W81*1.0113)+0.1646</f>
        <v>21.806419999999999</v>
      </c>
      <c r="Z81" s="172">
        <f>(X81-Y81)^2</f>
        <v>1.9623270497669636</v>
      </c>
      <c r="AA81" s="172">
        <f>X81^2</f>
        <v>416.38806885786857</v>
      </c>
      <c r="AW81" s="75" t="str">
        <f>$B$14</f>
        <v>Shanklin</v>
      </c>
      <c r="AX81" s="106" t="str">
        <f t="shared" si="107"/>
        <v>Totland</v>
      </c>
      <c r="AY81" s="87">
        <f t="shared" si="107"/>
        <v>21.4</v>
      </c>
      <c r="AZ81" s="108">
        <f>SQRT(((AE74-$AE$73)^2)+((AF74-$AF$73)^2))</f>
        <v>20.684742972858729</v>
      </c>
      <c r="BA81" s="108">
        <f t="shared" si="108"/>
        <v>22.345579999999998</v>
      </c>
      <c r="BB81" s="83">
        <f t="shared" si="109"/>
        <v>2.75837963072345</v>
      </c>
      <c r="BC81" s="83">
        <f t="shared" si="110"/>
        <v>427.85859185322857</v>
      </c>
    </row>
    <row r="82" spans="2:5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U82" s="75" t="str">
        <f>$B$14</f>
        <v>Shanklin</v>
      </c>
      <c r="V82" s="75" t="s">
        <v>200</v>
      </c>
      <c r="W82" s="87">
        <f>M16</f>
        <v>3.6</v>
      </c>
      <c r="X82" s="108">
        <f>SQRT(((C76-$C$74)^2)+((D76-$D$74)^2))</f>
        <v>3.6033804598568802</v>
      </c>
      <c r="Y82" s="108">
        <f>(W82*1.0113)+0.1646</f>
        <v>3.8052800000000007</v>
      </c>
      <c r="Z82" s="172">
        <f>(X82-Y82)^2</f>
        <v>4.0763424310003529E-2</v>
      </c>
      <c r="AA82" s="172">
        <f>X82^2</f>
        <v>12.984350738478382</v>
      </c>
      <c r="AW82" s="75" t="str">
        <f>$B$14</f>
        <v>Shanklin</v>
      </c>
      <c r="AX82" s="106" t="str">
        <f t="shared" si="107"/>
        <v>Ventnor</v>
      </c>
      <c r="AY82" s="87">
        <f t="shared" si="107"/>
        <v>3.6</v>
      </c>
      <c r="AZ82" s="108">
        <f>SQRT(((AE75-$AE$73)^2)+((AF75-$AF$73)^2))</f>
        <v>3.681586343995336</v>
      </c>
      <c r="BA82" s="108">
        <f t="shared" si="108"/>
        <v>3.8923200000000002</v>
      </c>
      <c r="BB82" s="83">
        <f t="shared" si="109"/>
        <v>4.4408673773092149E-2</v>
      </c>
      <c r="BC82" s="83">
        <f t="shared" si="110"/>
        <v>13.554078008292946</v>
      </c>
    </row>
    <row r="83" spans="2:5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U83" s="75" t="str">
        <f>$B$15</f>
        <v>Totland</v>
      </c>
      <c r="V83" s="75" t="s">
        <v>200</v>
      </c>
      <c r="W83" s="87">
        <f>N16</f>
        <v>18.899999999999999</v>
      </c>
      <c r="X83" s="108">
        <f>SQRT(((C76-$C$75)^2)+((D76-$D$75)^2))</f>
        <v>18.415123748231679</v>
      </c>
      <c r="Y83" s="108">
        <f>(W83*1.0113)+0.1646</f>
        <v>19.278169999999999</v>
      </c>
      <c r="Z83" s="172">
        <f>(X83-Y83)^2</f>
        <v>0.7448488326913475</v>
      </c>
      <c r="AA83" s="172">
        <f>X83^2</f>
        <v>339.11678266268638</v>
      </c>
      <c r="AW83" s="75" t="str">
        <f>$B$15</f>
        <v>Totland</v>
      </c>
      <c r="AX83" s="106" t="str">
        <f t="shared" si="107"/>
        <v>Ventnor</v>
      </c>
      <c r="AY83" s="87">
        <f t="shared" si="107"/>
        <v>18.899999999999999</v>
      </c>
      <c r="AZ83" s="108">
        <f>SQRT(((AE75-$AE$74)^2)+((AF75-$AF$74)^2))</f>
        <v>18.694045999521077</v>
      </c>
      <c r="BA83" s="108">
        <f t="shared" si="108"/>
        <v>19.753829999999997</v>
      </c>
      <c r="BB83" s="83">
        <f t="shared" si="109"/>
        <v>1.1231421276711047</v>
      </c>
      <c r="BC83" s="83">
        <f t="shared" si="110"/>
        <v>349.46735583220999</v>
      </c>
    </row>
    <row r="84" spans="2:5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2:55">
      <c r="Z85" s="106" t="s">
        <v>428</v>
      </c>
      <c r="AA85" s="75">
        <f>SQRT(SUM(Z6:Z83)/SUM(AA6:AA83))</f>
        <v>0.13105380121670271</v>
      </c>
      <c r="BB85" s="106" t="s">
        <v>428</v>
      </c>
      <c r="BC85" s="75">
        <f>SQRT(SUM(BB6:BB83)/SUM(BC6:BC83))</f>
        <v>0.12794655697965743</v>
      </c>
    </row>
  </sheetData>
  <phoneticPr fontId="7"/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AG99"/>
  <sheetViews>
    <sheetView workbookViewId="0">
      <selection activeCell="B4" sqref="B4:E32"/>
    </sheetView>
  </sheetViews>
  <sheetFormatPr defaultRowHeight="12.75"/>
  <cols>
    <col min="1" max="1" width="11" customWidth="1"/>
    <col min="2" max="2" width="13.125" customWidth="1"/>
    <col min="3" max="7" width="11" customWidth="1"/>
    <col min="8" max="8" width="13.125" customWidth="1"/>
    <col min="9" max="256" width="11" customWidth="1"/>
  </cols>
  <sheetData>
    <row r="4" spans="1:33" ht="13.5" thickBot="1">
      <c r="B4" s="24" t="s">
        <v>322</v>
      </c>
      <c r="C4" s="10"/>
      <c r="D4" s="11"/>
      <c r="E4" s="10"/>
      <c r="H4" s="24" t="s">
        <v>274</v>
      </c>
      <c r="I4" s="10"/>
      <c r="J4" s="11"/>
      <c r="K4" s="10"/>
      <c r="N4" s="10" t="s">
        <v>275</v>
      </c>
      <c r="O4" s="10"/>
      <c r="P4" s="10"/>
      <c r="Q4" s="10"/>
      <c r="R4" s="10"/>
      <c r="S4" s="10"/>
    </row>
    <row r="5" spans="1:33" ht="13.5" thickTop="1">
      <c r="C5" s="1" t="s">
        <v>20</v>
      </c>
      <c r="D5" s="1" t="s">
        <v>12</v>
      </c>
      <c r="E5" s="1" t="s">
        <v>12</v>
      </c>
      <c r="I5" s="1" t="s">
        <v>20</v>
      </c>
      <c r="J5" s="1" t="s">
        <v>12</v>
      </c>
      <c r="K5" s="1" t="s">
        <v>12</v>
      </c>
      <c r="N5" s="142" t="s">
        <v>276</v>
      </c>
      <c r="O5" s="143" t="s">
        <v>413</v>
      </c>
      <c r="P5" s="143" t="s">
        <v>417</v>
      </c>
      <c r="Q5" s="143" t="s">
        <v>272</v>
      </c>
      <c r="R5" s="143" t="s">
        <v>156</v>
      </c>
      <c r="S5" s="143" t="s">
        <v>158</v>
      </c>
    </row>
    <row r="6" spans="1:33">
      <c r="B6" s="31" t="s">
        <v>276</v>
      </c>
      <c r="C6" s="33" t="s">
        <v>173</v>
      </c>
      <c r="D6" s="33" t="s">
        <v>173</v>
      </c>
      <c r="E6" s="33" t="s">
        <v>174</v>
      </c>
      <c r="H6" s="31" t="s">
        <v>276</v>
      </c>
      <c r="I6" s="33" t="s">
        <v>173</v>
      </c>
      <c r="J6" s="33" t="s">
        <v>173</v>
      </c>
      <c r="K6" s="33" t="s">
        <v>174</v>
      </c>
      <c r="N6" s="144" t="s">
        <v>413</v>
      </c>
      <c r="O6" s="18">
        <f>0</f>
        <v>0</v>
      </c>
      <c r="P6" s="18">
        <f>O7</f>
        <v>13.323081475394497</v>
      </c>
      <c r="Q6" s="18">
        <f>O8</f>
        <v>6.2878641842838823</v>
      </c>
      <c r="R6" s="18">
        <f>O9</f>
        <v>37.45849569857284</v>
      </c>
      <c r="S6" s="18">
        <f>O10</f>
        <v>71.391379031364849</v>
      </c>
    </row>
    <row r="7" spans="1:33">
      <c r="A7">
        <v>1</v>
      </c>
      <c r="B7" s="5" t="s">
        <v>413</v>
      </c>
      <c r="C7" s="14">
        <v>23.14</v>
      </c>
      <c r="D7" s="14">
        <v>3.5</v>
      </c>
      <c r="E7" s="14">
        <v>3.77</v>
      </c>
      <c r="G7">
        <v>1</v>
      </c>
      <c r="H7" s="5" t="s">
        <v>413</v>
      </c>
      <c r="I7" s="14">
        <v>23.14</v>
      </c>
      <c r="J7" s="14">
        <v>3.5</v>
      </c>
      <c r="K7" s="14">
        <v>3.77</v>
      </c>
      <c r="N7" s="145" t="s">
        <v>417</v>
      </c>
      <c r="O7" s="18">
        <f>SQRT((($I$7-I8)^2)+(($J$7-J8)^2)+(($K$7-K8)^2))</f>
        <v>13.323081475394497</v>
      </c>
      <c r="P7" s="18">
        <f>0</f>
        <v>0</v>
      </c>
      <c r="Q7" s="18">
        <f>P8</f>
        <v>7.2049521858233039</v>
      </c>
      <c r="R7" s="18">
        <f>P9</f>
        <v>26.079282965603173</v>
      </c>
      <c r="S7" s="18">
        <f>P10</f>
        <v>60.070847338788226</v>
      </c>
    </row>
    <row r="8" spans="1:33">
      <c r="A8">
        <v>2</v>
      </c>
      <c r="B8" s="5" t="s">
        <v>414</v>
      </c>
      <c r="C8" s="14">
        <v>14.32</v>
      </c>
      <c r="D8" s="14">
        <v>3.97</v>
      </c>
      <c r="E8" s="14">
        <v>4.08</v>
      </c>
      <c r="G8">
        <v>2</v>
      </c>
      <c r="H8" s="5" t="s">
        <v>417</v>
      </c>
      <c r="I8" s="14">
        <f>21.16+(21.16/2)</f>
        <v>31.740000000000002</v>
      </c>
      <c r="J8" s="14">
        <v>9.33</v>
      </c>
      <c r="K8" s="14">
        <v>12.11</v>
      </c>
      <c r="N8" s="145" t="s">
        <v>272</v>
      </c>
      <c r="O8" s="18">
        <f>SQRT((($I$7-I9)^2)+(($J$7-J9)^2)+(($K$7-K9)^2))</f>
        <v>6.2878641842838823</v>
      </c>
      <c r="P8" s="18">
        <f>SQRT((($I$8-I9)^2)+(($J$8-J9)^2)+(($K$8-K9)^2))</f>
        <v>7.2049521858233039</v>
      </c>
      <c r="Q8" s="18">
        <f>0</f>
        <v>0</v>
      </c>
      <c r="R8" s="18">
        <f>Q9</f>
        <v>32.184352347064554</v>
      </c>
      <c r="S8" s="18">
        <f>Q10</f>
        <v>66.07363858605035</v>
      </c>
    </row>
    <row r="9" spans="1:33">
      <c r="A9">
        <v>3</v>
      </c>
      <c r="B9" s="5" t="s">
        <v>415</v>
      </c>
      <c r="C9" s="14">
        <v>51.69</v>
      </c>
      <c r="D9" s="14">
        <v>10.91</v>
      </c>
      <c r="E9" s="14">
        <v>10.72</v>
      </c>
      <c r="G9">
        <v>3</v>
      </c>
      <c r="H9" s="5" t="s">
        <v>272</v>
      </c>
      <c r="I9" s="14">
        <f>15.13+(15.13*0.8)</f>
        <v>27.234000000000002</v>
      </c>
      <c r="J9" s="14">
        <v>5.3</v>
      </c>
      <c r="K9" s="14">
        <v>8.19</v>
      </c>
      <c r="N9" s="145" t="s">
        <v>156</v>
      </c>
      <c r="O9" s="18">
        <f>SQRT((($I$7-I10)^2)+(($J$7-J10)^2)+(($K$7-K10)^2))</f>
        <v>37.45849569857284</v>
      </c>
      <c r="P9" s="18">
        <f>SQRT((($I$8-I10)^2)+(($J$8-J10)^2)+(($K$8-K10)^2))</f>
        <v>26.079282965603173</v>
      </c>
      <c r="Q9" s="18">
        <f>SQRT((($I$9-I10)^2)+(($J$9-J10)^2)+(($K$9-K10)^2))</f>
        <v>32.184352347064554</v>
      </c>
      <c r="R9" s="18">
        <f>0</f>
        <v>0</v>
      </c>
      <c r="S9" s="18">
        <f>R10</f>
        <v>34.784319743240644</v>
      </c>
    </row>
    <row r="10" spans="1:33">
      <c r="A10">
        <v>4</v>
      </c>
      <c r="B10" s="5" t="s">
        <v>416</v>
      </c>
      <c r="C10" s="14">
        <v>21.15</v>
      </c>
      <c r="D10" s="14">
        <v>4.9000000000000004</v>
      </c>
      <c r="E10" s="14">
        <v>4.6900000000000004</v>
      </c>
      <c r="G10">
        <v>4</v>
      </c>
      <c r="H10" s="5" t="s">
        <v>156</v>
      </c>
      <c r="I10" s="14">
        <v>55.94</v>
      </c>
      <c r="J10" s="14">
        <v>19</v>
      </c>
      <c r="K10" s="14">
        <v>13.1</v>
      </c>
      <c r="N10" s="145" t="s">
        <v>158</v>
      </c>
      <c r="O10" s="18">
        <f>SQRT((($I$7-I11)^2)+(($J$7-J11)^2)+(($K$7-K11)^2))</f>
        <v>71.391379031364849</v>
      </c>
      <c r="P10" s="18">
        <f>SQRT((($I$8-I11)^2)+(($J$8-J11)^2)+(($K$8-K11)^2))</f>
        <v>60.070847338788226</v>
      </c>
      <c r="Q10" s="18">
        <f>SQRT((($I$9-I11)^2)+(($J$9-J11)^2)+(($K$9-K11)^2))</f>
        <v>66.07363858605035</v>
      </c>
      <c r="R10" s="18">
        <f>SQRT((($I$10-I11)^2)+(($J$10-J11)^2)+(($K$10-K11)^2))</f>
        <v>34.784319743240644</v>
      </c>
      <c r="S10" s="18">
        <f>0</f>
        <v>0</v>
      </c>
    </row>
    <row r="11" spans="1:33" ht="13.5" thickBot="1">
      <c r="A11">
        <v>5</v>
      </c>
      <c r="B11" s="5" t="s">
        <v>417</v>
      </c>
      <c r="C11" s="14">
        <f>21.16+(21.16/2)</f>
        <v>31.740000000000002</v>
      </c>
      <c r="D11" s="14">
        <v>9.33</v>
      </c>
      <c r="E11" s="14">
        <v>12.11</v>
      </c>
      <c r="G11">
        <v>5</v>
      </c>
      <c r="H11" s="5" t="s">
        <v>158</v>
      </c>
      <c r="I11" s="14">
        <v>89.43</v>
      </c>
      <c r="J11" s="14">
        <v>23.18</v>
      </c>
      <c r="K11" s="14">
        <v>21.52</v>
      </c>
      <c r="N11" s="154"/>
      <c r="O11" s="10"/>
      <c r="P11" s="10"/>
      <c r="Q11" s="10"/>
      <c r="R11" s="10"/>
      <c r="S11" s="10"/>
    </row>
    <row r="12" spans="1:33" ht="13.5" thickTop="1">
      <c r="A12">
        <v>6</v>
      </c>
      <c r="B12" s="5" t="s">
        <v>179</v>
      </c>
      <c r="C12" s="14">
        <v>36.81</v>
      </c>
      <c r="D12" s="14">
        <v>11.35</v>
      </c>
      <c r="E12" s="14">
        <v>10.1</v>
      </c>
    </row>
    <row r="13" spans="1:33">
      <c r="A13">
        <v>7</v>
      </c>
      <c r="B13" s="5" t="s">
        <v>400</v>
      </c>
      <c r="C13" s="14">
        <f>16.75+(16.75/2)</f>
        <v>25.125</v>
      </c>
      <c r="D13" s="14">
        <v>6.39</v>
      </c>
      <c r="E13" s="14">
        <v>6.81</v>
      </c>
    </row>
    <row r="14" spans="1:33">
      <c r="A14">
        <v>8</v>
      </c>
      <c r="B14" s="5" t="s">
        <v>14</v>
      </c>
      <c r="C14" s="14">
        <v>32.93</v>
      </c>
      <c r="D14" s="14">
        <v>8.4600000000000009</v>
      </c>
      <c r="E14" s="14">
        <v>6.08</v>
      </c>
      <c r="H14" s="17" t="s">
        <v>51</v>
      </c>
      <c r="I14" s="14">
        <f>MIN(I7:I11)</f>
        <v>23.14</v>
      </c>
      <c r="J14" s="14">
        <f>MIN(J7:J11)</f>
        <v>3.5</v>
      </c>
      <c r="K14" s="14">
        <f>MIN(K7:K11)</f>
        <v>3.77</v>
      </c>
    </row>
    <row r="15" spans="1:33">
      <c r="A15">
        <v>9</v>
      </c>
      <c r="B15" s="5" t="s">
        <v>376</v>
      </c>
      <c r="C15" s="14">
        <v>21.81</v>
      </c>
      <c r="D15" s="14">
        <v>6.92</v>
      </c>
      <c r="E15" s="14">
        <v>9.01</v>
      </c>
      <c r="H15" s="17" t="s">
        <v>53</v>
      </c>
      <c r="I15" s="14">
        <f>MAX(I7:I11)</f>
        <v>89.43</v>
      </c>
      <c r="J15" s="14">
        <f>MAX(J7:J11)</f>
        <v>23.18</v>
      </c>
      <c r="K15" s="14">
        <f>MAX(K7:K11)</f>
        <v>21.52</v>
      </c>
    </row>
    <row r="16" spans="1:33" ht="13.5" thickBot="1">
      <c r="A16">
        <v>10</v>
      </c>
      <c r="B16" s="5" t="s">
        <v>16</v>
      </c>
      <c r="C16" s="14">
        <v>13.88</v>
      </c>
      <c r="D16" s="14">
        <v>5.03</v>
      </c>
      <c r="E16" s="14">
        <v>4.34</v>
      </c>
      <c r="H16" s="6" t="s">
        <v>185</v>
      </c>
      <c r="I16" s="3">
        <f>SUM(I7:I11)</f>
        <v>227.48400000000001</v>
      </c>
      <c r="J16" s="3">
        <f>SUM(J7:J11)</f>
        <v>60.309999999999995</v>
      </c>
      <c r="K16" s="3">
        <f>SUM(K7:K11)</f>
        <v>58.69</v>
      </c>
      <c r="N16" s="10" t="s">
        <v>101</v>
      </c>
      <c r="O16" s="153"/>
      <c r="P16" s="10"/>
      <c r="Q16" s="10"/>
      <c r="R16" s="10"/>
      <c r="S16" s="10"/>
      <c r="U16" s="10" t="s">
        <v>114</v>
      </c>
      <c r="V16" s="153"/>
      <c r="W16" s="10"/>
      <c r="X16" s="10"/>
      <c r="Y16" s="10"/>
      <c r="Z16" s="10"/>
      <c r="AB16" s="10" t="s">
        <v>115</v>
      </c>
      <c r="AC16" s="10"/>
      <c r="AD16" s="10"/>
      <c r="AE16" s="10"/>
      <c r="AF16" s="10"/>
      <c r="AG16" s="10"/>
    </row>
    <row r="17" spans="1:33" ht="13.5" thickTop="1">
      <c r="A17">
        <v>11</v>
      </c>
      <c r="B17" s="5" t="s">
        <v>377</v>
      </c>
      <c r="C17" s="14">
        <v>21.43</v>
      </c>
      <c r="D17" s="14">
        <v>7.03</v>
      </c>
      <c r="E17" s="14">
        <v>6.79</v>
      </c>
      <c r="H17" t="s">
        <v>178</v>
      </c>
      <c r="I17" s="3">
        <f>AVERAGE(I7:I11)</f>
        <v>45.4968</v>
      </c>
      <c r="J17" s="3">
        <f>AVERAGE(J7:J11)</f>
        <v>12.061999999999999</v>
      </c>
      <c r="K17" s="3">
        <f>AVERAGE(K7:K11)</f>
        <v>11.738</v>
      </c>
      <c r="N17" s="22" t="s">
        <v>100</v>
      </c>
      <c r="O17" s="150"/>
      <c r="Q17" s="22"/>
      <c r="R17" s="152" t="s">
        <v>99</v>
      </c>
      <c r="S17" s="156" t="s">
        <v>102</v>
      </c>
      <c r="U17" s="22" t="s">
        <v>100</v>
      </c>
      <c r="V17" s="150"/>
      <c r="X17" s="22"/>
      <c r="Y17" s="152" t="s">
        <v>99</v>
      </c>
      <c r="Z17" s="156" t="s">
        <v>102</v>
      </c>
    </row>
    <row r="18" spans="1:33" ht="13.5" thickBot="1">
      <c r="A18">
        <v>12</v>
      </c>
      <c r="B18" s="5" t="s">
        <v>272</v>
      </c>
      <c r="C18" s="14">
        <f>15.13+(15.13*0.8)</f>
        <v>27.234000000000002</v>
      </c>
      <c r="D18" s="14">
        <v>5.3</v>
      </c>
      <c r="E18" s="14">
        <v>8.19</v>
      </c>
      <c r="H18" t="s">
        <v>330</v>
      </c>
      <c r="I18" s="14">
        <f>VAR(I7:I11)</f>
        <v>765.44810120000011</v>
      </c>
      <c r="J18" s="14">
        <f>VAR(J7:J11)</f>
        <v>74.560520000000054</v>
      </c>
      <c r="K18" s="14">
        <f>VAR(K7:K11)</f>
        <v>43.439570000000003</v>
      </c>
      <c r="N18" s="22" t="s">
        <v>241</v>
      </c>
      <c r="O18" s="149" t="s">
        <v>276</v>
      </c>
      <c r="P18" s="150"/>
      <c r="Q18" s="151" t="s">
        <v>276</v>
      </c>
      <c r="R18" s="151" t="s">
        <v>241</v>
      </c>
      <c r="S18" s="159" t="s">
        <v>103</v>
      </c>
      <c r="U18" s="22" t="s">
        <v>241</v>
      </c>
      <c r="V18" s="149" t="s">
        <v>276</v>
      </c>
      <c r="W18" s="150"/>
      <c r="X18" s="151" t="s">
        <v>276</v>
      </c>
      <c r="Y18" s="151" t="s">
        <v>241</v>
      </c>
      <c r="Z18" s="159" t="s">
        <v>103</v>
      </c>
      <c r="AB18" s="10" t="s">
        <v>116</v>
      </c>
      <c r="AC18" s="10"/>
      <c r="AD18" s="10"/>
      <c r="AE18" s="10"/>
      <c r="AF18" s="10"/>
      <c r="AG18" s="10"/>
    </row>
    <row r="19" spans="1:33" ht="15" thickTop="1">
      <c r="A19">
        <v>13</v>
      </c>
      <c r="B19" s="5" t="s">
        <v>221</v>
      </c>
      <c r="C19" s="14">
        <v>38.15</v>
      </c>
      <c r="D19" s="14">
        <v>9.4</v>
      </c>
      <c r="E19" s="14">
        <v>8.7100000000000009</v>
      </c>
      <c r="H19" s="155" t="s">
        <v>184</v>
      </c>
      <c r="I19" s="16">
        <f>STDEV(I7:I11)</f>
        <v>27.666732752531516</v>
      </c>
      <c r="J19" s="16">
        <f>STDEV(J7:J11)</f>
        <v>8.634843368585214</v>
      </c>
      <c r="K19" s="16">
        <f>STDEV(K7:K11)</f>
        <v>6.5908702005122208</v>
      </c>
      <c r="N19" s="42">
        <v>13.323081475394497</v>
      </c>
      <c r="O19" s="148" t="s">
        <v>277</v>
      </c>
      <c r="P19" s="18"/>
      <c r="Q19" s="147" t="s">
        <v>278</v>
      </c>
      <c r="R19" s="15">
        <v>6.2878641842838823</v>
      </c>
      <c r="S19" s="160" t="s">
        <v>104</v>
      </c>
      <c r="U19" s="42">
        <v>13.323081475394497</v>
      </c>
      <c r="V19" s="148" t="s">
        <v>277</v>
      </c>
      <c r="W19" s="18"/>
      <c r="X19" s="147" t="s">
        <v>278</v>
      </c>
      <c r="Y19" s="15">
        <v>6.2878641842838823</v>
      </c>
      <c r="Z19" s="160" t="s">
        <v>104</v>
      </c>
      <c r="AB19" s="142" t="s">
        <v>276</v>
      </c>
      <c r="AC19" s="143" t="s">
        <v>413</v>
      </c>
      <c r="AD19" s="143" t="s">
        <v>417</v>
      </c>
      <c r="AE19" s="143" t="s">
        <v>272</v>
      </c>
      <c r="AF19" s="143" t="s">
        <v>156</v>
      </c>
      <c r="AG19" s="143" t="s">
        <v>158</v>
      </c>
    </row>
    <row r="20" spans="1:33" ht="15" thickBot="1">
      <c r="A20">
        <v>14</v>
      </c>
      <c r="B20" s="5" t="s">
        <v>181</v>
      </c>
      <c r="C20" s="14">
        <v>40.11</v>
      </c>
      <c r="D20" s="14">
        <v>14.98</v>
      </c>
      <c r="E20" s="14">
        <v>12.98</v>
      </c>
      <c r="H20" s="10"/>
      <c r="I20" s="10"/>
      <c r="J20" s="10"/>
      <c r="K20" s="10"/>
      <c r="N20" s="42">
        <v>6.2878641842838823</v>
      </c>
      <c r="O20" s="53" t="s">
        <v>278</v>
      </c>
      <c r="P20" s="18"/>
      <c r="Q20" s="147" t="s">
        <v>281</v>
      </c>
      <c r="R20" s="15">
        <v>7.2049521858233039</v>
      </c>
      <c r="S20" s="160" t="s">
        <v>104</v>
      </c>
      <c r="U20" s="42">
        <v>6.2878641842838823</v>
      </c>
      <c r="V20" s="53" t="s">
        <v>278</v>
      </c>
      <c r="W20" s="18"/>
      <c r="X20" s="147" t="s">
        <v>281</v>
      </c>
      <c r="Y20" s="15">
        <v>7.2049521858233039</v>
      </c>
      <c r="Z20" s="157"/>
      <c r="AB20" s="144" t="s">
        <v>413</v>
      </c>
      <c r="AC20" s="18">
        <v>0</v>
      </c>
      <c r="AD20" s="18">
        <v>13.323081475394497</v>
      </c>
      <c r="AE20" s="18">
        <v>6.2878641842838823</v>
      </c>
      <c r="AF20" s="18">
        <v>37.45849569857284</v>
      </c>
      <c r="AG20" s="18">
        <v>71.391379031364849</v>
      </c>
    </row>
    <row r="21" spans="1:33" ht="15" thickTop="1">
      <c r="A21">
        <v>15</v>
      </c>
      <c r="B21" s="5" t="s">
        <v>182</v>
      </c>
      <c r="C21" s="14">
        <v>62.17</v>
      </c>
      <c r="D21" s="14">
        <v>12.25</v>
      </c>
      <c r="E21" s="14">
        <v>8.7100000000000009</v>
      </c>
      <c r="N21" s="42">
        <v>37.45849569857284</v>
      </c>
      <c r="O21" s="53" t="s">
        <v>279</v>
      </c>
      <c r="Q21" s="146" t="s">
        <v>277</v>
      </c>
      <c r="R21" s="15">
        <v>13.323081475394497</v>
      </c>
      <c r="S21" s="156"/>
      <c r="U21" s="42">
        <v>37.45849569857284</v>
      </c>
      <c r="V21" s="53" t="s">
        <v>279</v>
      </c>
      <c r="X21" s="146" t="s">
        <v>277</v>
      </c>
      <c r="Y21" s="15">
        <v>13.323081475394497</v>
      </c>
      <c r="Z21" s="160" t="s">
        <v>104</v>
      </c>
      <c r="AB21" s="145" t="s">
        <v>417</v>
      </c>
      <c r="AC21" s="18">
        <v>13.323081475394497</v>
      </c>
      <c r="AD21" s="18">
        <v>0</v>
      </c>
      <c r="AE21" s="18">
        <v>7.2049521858233039</v>
      </c>
      <c r="AF21" s="18">
        <v>26.079282965603173</v>
      </c>
      <c r="AG21" s="18">
        <v>60.070847338788226</v>
      </c>
    </row>
    <row r="22" spans="1:33" ht="14.25">
      <c r="A22">
        <v>16</v>
      </c>
      <c r="B22" s="5" t="s">
        <v>156</v>
      </c>
      <c r="C22" s="14">
        <v>55.94</v>
      </c>
      <c r="D22" s="14">
        <v>19</v>
      </c>
      <c r="E22" s="14">
        <v>13.1</v>
      </c>
      <c r="N22" s="42">
        <v>71.391379031364849</v>
      </c>
      <c r="O22" s="53" t="s">
        <v>280</v>
      </c>
      <c r="Q22" s="147" t="s">
        <v>282</v>
      </c>
      <c r="R22" s="15">
        <v>26.079282965603173</v>
      </c>
      <c r="S22" s="160" t="s">
        <v>104</v>
      </c>
      <c r="U22" s="42">
        <v>71.391379031364849</v>
      </c>
      <c r="V22" s="53" t="s">
        <v>280</v>
      </c>
      <c r="X22" s="147" t="s">
        <v>282</v>
      </c>
      <c r="Y22" s="15">
        <v>26.079282965603173</v>
      </c>
      <c r="Z22" s="157"/>
      <c r="AB22" s="145" t="s">
        <v>272</v>
      </c>
      <c r="AC22" s="161">
        <v>6.2878641842838823</v>
      </c>
      <c r="AD22" s="18">
        <v>7.2049521858233039</v>
      </c>
      <c r="AE22" s="18">
        <v>0</v>
      </c>
      <c r="AF22" s="18">
        <v>32.184352347064554</v>
      </c>
      <c r="AG22" s="18">
        <v>66.07363858605035</v>
      </c>
    </row>
    <row r="23" spans="1:33">
      <c r="A23">
        <v>17</v>
      </c>
      <c r="B23" s="5" t="s">
        <v>157</v>
      </c>
      <c r="C23" s="14">
        <v>23.31</v>
      </c>
      <c r="D23" s="14">
        <v>3.84</v>
      </c>
      <c r="E23" s="14">
        <v>4.5999999999999996</v>
      </c>
      <c r="N23" s="42">
        <v>7.2049521858233039</v>
      </c>
      <c r="O23" s="53" t="s">
        <v>281</v>
      </c>
      <c r="Q23" s="147" t="s">
        <v>96</v>
      </c>
      <c r="R23" s="15">
        <v>32.184352347064554</v>
      </c>
      <c r="S23" s="156"/>
      <c r="U23" s="42">
        <v>7.2049521858233039</v>
      </c>
      <c r="V23" s="53" t="s">
        <v>281</v>
      </c>
      <c r="X23" s="147" t="s">
        <v>96</v>
      </c>
      <c r="Y23" s="15">
        <v>32.184352347064554</v>
      </c>
      <c r="Z23" s="156"/>
      <c r="AB23" s="145" t="s">
        <v>156</v>
      </c>
      <c r="AC23" s="18">
        <v>37.45849569857284</v>
      </c>
      <c r="AD23" s="18">
        <v>26.079282965603173</v>
      </c>
      <c r="AE23" s="18">
        <v>32.184352347064554</v>
      </c>
      <c r="AF23" s="18">
        <v>0</v>
      </c>
      <c r="AG23" s="18">
        <v>34.784319743240644</v>
      </c>
    </row>
    <row r="24" spans="1:33" ht="14.25">
      <c r="A24">
        <v>18</v>
      </c>
      <c r="B24" s="5" t="s">
        <v>10</v>
      </c>
      <c r="C24" s="14">
        <v>46.12</v>
      </c>
      <c r="D24" s="14">
        <v>8.15</v>
      </c>
      <c r="E24" s="14">
        <v>11.42</v>
      </c>
      <c r="N24" s="42">
        <v>26.079282965603173</v>
      </c>
      <c r="O24" s="53" t="s">
        <v>282</v>
      </c>
      <c r="Q24" s="147" t="s">
        <v>98</v>
      </c>
      <c r="R24" s="15">
        <v>34.784319743240644</v>
      </c>
      <c r="S24" s="160" t="s">
        <v>104</v>
      </c>
      <c r="U24" s="42">
        <v>26.079282965603173</v>
      </c>
      <c r="V24" s="53" t="s">
        <v>282</v>
      </c>
      <c r="X24" s="147" t="s">
        <v>98</v>
      </c>
      <c r="Y24" s="15">
        <v>34.784319743240644</v>
      </c>
      <c r="Z24" s="160" t="s">
        <v>104</v>
      </c>
      <c r="AB24" s="145" t="s">
        <v>158</v>
      </c>
      <c r="AC24" s="18">
        <v>71.391379031364849</v>
      </c>
      <c r="AD24" s="18">
        <v>60.070847338788226</v>
      </c>
      <c r="AE24" s="18">
        <v>66.07363858605035</v>
      </c>
      <c r="AF24" s="18">
        <v>34.784319743240644</v>
      </c>
      <c r="AG24" s="18">
        <v>0</v>
      </c>
    </row>
    <row r="25" spans="1:33" ht="13.5" thickBot="1">
      <c r="A25">
        <v>19</v>
      </c>
      <c r="B25" s="5" t="s">
        <v>158</v>
      </c>
      <c r="C25" s="14">
        <v>89.43</v>
      </c>
      <c r="D25" s="14">
        <v>23.18</v>
      </c>
      <c r="E25" s="14">
        <v>21.52</v>
      </c>
      <c r="N25" s="42">
        <v>60.070847338788226</v>
      </c>
      <c r="O25" s="53" t="s">
        <v>95</v>
      </c>
      <c r="Q25" s="147" t="s">
        <v>279</v>
      </c>
      <c r="R25" s="15">
        <v>37.45849569857284</v>
      </c>
      <c r="S25" s="156"/>
      <c r="U25" s="42">
        <v>60.070847338788226</v>
      </c>
      <c r="V25" s="53" t="s">
        <v>95</v>
      </c>
      <c r="X25" s="147" t="s">
        <v>279</v>
      </c>
      <c r="Y25" s="15">
        <v>37.45849569857284</v>
      </c>
      <c r="Z25" s="156"/>
      <c r="AB25" s="154"/>
      <c r="AC25" s="10"/>
      <c r="AD25" s="10"/>
      <c r="AE25" s="10"/>
      <c r="AF25" s="10"/>
      <c r="AG25" s="10"/>
    </row>
    <row r="26" spans="1:33" ht="13.5" thickTop="1">
      <c r="A26">
        <v>20</v>
      </c>
      <c r="B26" s="61" t="s">
        <v>11</v>
      </c>
      <c r="C26" s="62">
        <v>47.89</v>
      </c>
      <c r="D26" s="62">
        <v>13.56</v>
      </c>
      <c r="E26" s="62">
        <v>11.78</v>
      </c>
      <c r="N26" s="42">
        <v>32.184352347064554</v>
      </c>
      <c r="O26" s="53" t="s">
        <v>96</v>
      </c>
      <c r="Q26" s="147" t="s">
        <v>95</v>
      </c>
      <c r="R26" s="15">
        <v>60.070847338788226</v>
      </c>
      <c r="S26" s="157"/>
      <c r="U26" s="42">
        <v>32.184352347064554</v>
      </c>
      <c r="V26" s="53" t="s">
        <v>96</v>
      </c>
      <c r="X26" s="147" t="s">
        <v>95</v>
      </c>
      <c r="Y26" s="15">
        <v>60.070847338788226</v>
      </c>
      <c r="Z26" s="157"/>
    </row>
    <row r="27" spans="1:33">
      <c r="B27" s="20"/>
      <c r="C27" s="20"/>
      <c r="D27" s="20"/>
      <c r="E27" s="20"/>
      <c r="N27" s="42">
        <v>66.07363858605035</v>
      </c>
      <c r="O27" s="53" t="s">
        <v>97</v>
      </c>
      <c r="Q27" s="147" t="s">
        <v>97</v>
      </c>
      <c r="R27" s="15">
        <v>66.07363858605035</v>
      </c>
      <c r="S27" s="157"/>
      <c r="U27" s="42">
        <v>66.07363858605035</v>
      </c>
      <c r="V27" s="53" t="s">
        <v>97</v>
      </c>
      <c r="X27" s="147" t="s">
        <v>97</v>
      </c>
      <c r="Y27" s="15">
        <v>66.07363858605035</v>
      </c>
      <c r="Z27" s="157"/>
    </row>
    <row r="28" spans="1:33" ht="15" thickBot="1">
      <c r="B28" s="6" t="s">
        <v>185</v>
      </c>
      <c r="C28" s="3">
        <f>SUM(C7:C26)</f>
        <v>724.37900000000002</v>
      </c>
      <c r="D28" s="3">
        <f>SUM(D7:D26)</f>
        <v>187.45000000000005</v>
      </c>
      <c r="E28" s="3">
        <f>SUM(E7:E26)</f>
        <v>179.51</v>
      </c>
      <c r="N28" s="42">
        <v>34.784319743240644</v>
      </c>
      <c r="O28" s="53" t="s">
        <v>98</v>
      </c>
      <c r="Q28" s="147" t="s">
        <v>280</v>
      </c>
      <c r="R28" s="15">
        <v>71.391379031364849</v>
      </c>
      <c r="S28" s="157"/>
      <c r="U28" s="42">
        <v>34.784319743240644</v>
      </c>
      <c r="V28" s="53" t="s">
        <v>98</v>
      </c>
      <c r="X28" s="147" t="s">
        <v>280</v>
      </c>
      <c r="Y28" s="15">
        <v>71.391379031364849</v>
      </c>
      <c r="Z28" s="160" t="s">
        <v>104</v>
      </c>
      <c r="AB28" s="10" t="s">
        <v>2</v>
      </c>
      <c r="AC28" s="10"/>
      <c r="AD28" s="10"/>
      <c r="AE28" s="10"/>
      <c r="AF28" s="10"/>
      <c r="AG28" s="20"/>
    </row>
    <row r="29" spans="1:33" ht="14.25" thickTop="1" thickBot="1">
      <c r="B29" t="s">
        <v>178</v>
      </c>
      <c r="C29" s="3">
        <f>AVERAGE(C7:C26)</f>
        <v>36.21895</v>
      </c>
      <c r="D29" s="3">
        <f>AVERAGE(D7:D26)</f>
        <v>9.3725000000000023</v>
      </c>
      <c r="E29" s="3">
        <f>AVERAGE(E7:E26)</f>
        <v>8.9755000000000003</v>
      </c>
      <c r="N29" s="10"/>
      <c r="O29" s="10"/>
      <c r="P29" s="10"/>
      <c r="Q29" s="10"/>
      <c r="R29" s="10"/>
      <c r="S29" s="158"/>
      <c r="U29" s="10"/>
      <c r="V29" s="10"/>
      <c r="W29" s="10"/>
      <c r="X29" s="10"/>
      <c r="Y29" s="10"/>
      <c r="Z29" s="158"/>
      <c r="AB29" s="142" t="s">
        <v>276</v>
      </c>
      <c r="AC29" s="143" t="s">
        <v>1</v>
      </c>
      <c r="AD29" s="143" t="s">
        <v>417</v>
      </c>
      <c r="AE29" s="143" t="s">
        <v>156</v>
      </c>
      <c r="AF29" s="143" t="s">
        <v>158</v>
      </c>
    </row>
    <row r="30" spans="1:33" ht="13.5" thickTop="1">
      <c r="B30" t="s">
        <v>330</v>
      </c>
      <c r="C30" s="14">
        <f>VAR(C7:C26)</f>
        <v>346.89414731315782</v>
      </c>
      <c r="D30" s="14">
        <f>VAR(D7:D26)</f>
        <v>27.332851315789412</v>
      </c>
      <c r="E30" s="14">
        <f>VAR(E7:E26)</f>
        <v>18.266110263157913</v>
      </c>
      <c r="AB30" s="144" t="s">
        <v>1</v>
      </c>
      <c r="AC30" s="18">
        <v>0</v>
      </c>
      <c r="AD30" s="18">
        <f>AC31</f>
        <v>10.264016830608901</v>
      </c>
      <c r="AE30" s="18">
        <f>AC32</f>
        <v>34.821424022818697</v>
      </c>
      <c r="AF30" s="18">
        <f>AC33</f>
        <v>68.732508808707593</v>
      </c>
    </row>
    <row r="31" spans="1:33">
      <c r="B31" s="155" t="s">
        <v>184</v>
      </c>
      <c r="C31" s="16">
        <f>STDEV(C7:C26)</f>
        <v>18.625094558502457</v>
      </c>
      <c r="D31" s="16">
        <f>STDEV(D7:D26)</f>
        <v>5.2280829484419442</v>
      </c>
      <c r="E31" s="16">
        <f>STDEV(E7:E26)</f>
        <v>4.2738870204016752</v>
      </c>
      <c r="AB31" s="145" t="s">
        <v>417</v>
      </c>
      <c r="AC31" s="161">
        <f>(AC21+AE21)/2</f>
        <v>10.264016830608901</v>
      </c>
      <c r="AD31" s="18">
        <v>0</v>
      </c>
      <c r="AE31" s="18">
        <v>26.079282965603173</v>
      </c>
      <c r="AF31" s="18">
        <v>60.070847338788226</v>
      </c>
    </row>
    <row r="32" spans="1:33" ht="13.5" thickBot="1">
      <c r="B32" s="10"/>
      <c r="C32" s="10"/>
      <c r="D32" s="10"/>
      <c r="E32" s="10"/>
      <c r="AB32" s="145" t="s">
        <v>156</v>
      </c>
      <c r="AC32" s="18">
        <f>(AC23+AE23)/2</f>
        <v>34.821424022818697</v>
      </c>
      <c r="AD32" s="18">
        <v>26.079282965603173</v>
      </c>
      <c r="AE32" s="18">
        <v>0</v>
      </c>
      <c r="AF32" s="18">
        <v>34.784319743240644</v>
      </c>
    </row>
    <row r="33" spans="28:32" ht="13.5" thickTop="1">
      <c r="AB33" s="145" t="s">
        <v>158</v>
      </c>
      <c r="AC33" s="18">
        <f>(AC24+AE24)/2</f>
        <v>68.732508808707593</v>
      </c>
      <c r="AD33" s="18">
        <v>60.070847338788226</v>
      </c>
      <c r="AE33" s="18">
        <v>34.784319743240644</v>
      </c>
      <c r="AF33" s="18">
        <v>0</v>
      </c>
    </row>
    <row r="34" spans="28:32" ht="13.5" thickBot="1">
      <c r="AB34" s="154"/>
      <c r="AC34" s="10"/>
      <c r="AD34" s="10"/>
      <c r="AE34" s="10"/>
      <c r="AF34" s="10"/>
    </row>
    <row r="35" spans="28:32" ht="13.5" thickTop="1"/>
    <row r="37" spans="28:32" ht="13.5" thickBot="1">
      <c r="AB37" s="10" t="s">
        <v>117</v>
      </c>
      <c r="AC37" s="10"/>
      <c r="AD37" s="10"/>
      <c r="AE37" s="10"/>
      <c r="AF37" s="20"/>
    </row>
    <row r="38" spans="28:32" ht="13.5" thickTop="1">
      <c r="AB38" s="142" t="s">
        <v>276</v>
      </c>
      <c r="AC38" s="143" t="s">
        <v>3</v>
      </c>
      <c r="AD38" s="143" t="s">
        <v>156</v>
      </c>
      <c r="AE38" s="143" t="s">
        <v>158</v>
      </c>
    </row>
    <row r="39" spans="28:32">
      <c r="AB39" s="144" t="s">
        <v>3</v>
      </c>
      <c r="AC39" s="18">
        <v>0</v>
      </c>
      <c r="AD39" s="18">
        <f>AC40</f>
        <v>31.907377003746859</v>
      </c>
      <c r="AE39" s="18">
        <f>AC41</f>
        <v>65.845288318734475</v>
      </c>
    </row>
    <row r="40" spans="28:32">
      <c r="AB40" s="145" t="s">
        <v>156</v>
      </c>
      <c r="AC40" s="161">
        <f>(AC23+AD23+AE23)/3</f>
        <v>31.907377003746859</v>
      </c>
      <c r="AD40" s="18">
        <v>0</v>
      </c>
      <c r="AE40" s="18">
        <v>34.784319743240644</v>
      </c>
    </row>
    <row r="41" spans="28:32">
      <c r="AB41" s="145" t="s">
        <v>158</v>
      </c>
      <c r="AC41" s="18">
        <f>(AC24+AD24+AE24)/3</f>
        <v>65.845288318734475</v>
      </c>
      <c r="AD41" s="18">
        <v>34.784319743240644</v>
      </c>
      <c r="AE41" s="18">
        <v>0</v>
      </c>
    </row>
    <row r="42" spans="28:32" ht="13.5" thickBot="1">
      <c r="AB42" s="154"/>
      <c r="AC42" s="10"/>
      <c r="AD42" s="10"/>
      <c r="AE42" s="10"/>
    </row>
    <row r="43" spans="28:32" ht="13.5" thickTop="1"/>
    <row r="45" spans="28:32" ht="13.5" thickBot="1">
      <c r="AB45" s="10" t="s">
        <v>117</v>
      </c>
      <c r="AC45" s="10"/>
      <c r="AD45" s="10"/>
      <c r="AE45" s="20"/>
    </row>
    <row r="46" spans="28:32" ht="13.5" thickTop="1">
      <c r="AB46" s="142" t="s">
        <v>276</v>
      </c>
      <c r="AC46" s="143" t="s">
        <v>4</v>
      </c>
      <c r="AD46" s="143" t="s">
        <v>158</v>
      </c>
    </row>
    <row r="47" spans="28:32">
      <c r="AB47" s="144" t="s">
        <v>4</v>
      </c>
      <c r="AC47" s="18">
        <v>0</v>
      </c>
      <c r="AD47" s="18">
        <f>AC48</f>
        <v>58.080046174861018</v>
      </c>
    </row>
    <row r="48" spans="28:32">
      <c r="AB48" s="145" t="s">
        <v>158</v>
      </c>
      <c r="AC48" s="161">
        <f>(AC24+AD24+AE24+AF24)/4</f>
        <v>58.080046174861018</v>
      </c>
      <c r="AD48" s="18">
        <v>0</v>
      </c>
    </row>
    <row r="49" spans="14:30" ht="13.5" thickBot="1">
      <c r="AB49" s="154"/>
      <c r="AC49" s="10"/>
      <c r="AD49" s="10"/>
    </row>
    <row r="50" spans="14:30" ht="13.5" thickTop="1"/>
    <row r="53" spans="14:30" ht="13.5" thickBot="1">
      <c r="N53" s="10" t="s">
        <v>5</v>
      </c>
      <c r="O53" s="10"/>
      <c r="P53" s="10"/>
      <c r="Q53" s="10"/>
      <c r="R53" s="10"/>
      <c r="S53" s="10"/>
      <c r="U53" s="10" t="s">
        <v>171</v>
      </c>
      <c r="V53" s="10"/>
      <c r="W53" s="10"/>
      <c r="X53" s="10"/>
      <c r="Y53" s="10"/>
      <c r="Z53" s="10"/>
    </row>
    <row r="54" spans="14:30" ht="13.5" thickTop="1">
      <c r="N54" s="142" t="s">
        <v>276</v>
      </c>
      <c r="O54" s="143" t="s">
        <v>413</v>
      </c>
      <c r="P54" s="143" t="s">
        <v>417</v>
      </c>
      <c r="Q54" s="143" t="s">
        <v>272</v>
      </c>
      <c r="R54" s="143" t="s">
        <v>156</v>
      </c>
      <c r="S54" s="143" t="s">
        <v>158</v>
      </c>
      <c r="U54" s="142" t="s">
        <v>276</v>
      </c>
      <c r="V54" s="143" t="s">
        <v>413</v>
      </c>
      <c r="W54" s="143" t="s">
        <v>417</v>
      </c>
      <c r="X54" s="143" t="s">
        <v>272</v>
      </c>
      <c r="Y54" s="143" t="s">
        <v>156</v>
      </c>
      <c r="Z54" s="143" t="s">
        <v>158</v>
      </c>
    </row>
    <row r="55" spans="14:30">
      <c r="N55" s="144" t="s">
        <v>413</v>
      </c>
      <c r="O55" s="18">
        <f>0</f>
        <v>0</v>
      </c>
      <c r="P55" s="18">
        <f>O56</f>
        <v>7.2049521858233039</v>
      </c>
      <c r="Q55" s="18">
        <f>O57</f>
        <v>6.2878641842838823</v>
      </c>
      <c r="R55" s="18">
        <f>O58</f>
        <v>26.079282965603173</v>
      </c>
      <c r="S55" s="18">
        <f>O59</f>
        <v>34.784319743240644</v>
      </c>
      <c r="U55" s="144" t="s">
        <v>413</v>
      </c>
      <c r="V55" s="18">
        <f>0</f>
        <v>0</v>
      </c>
      <c r="W55" s="18">
        <f>V56</f>
        <v>13.323081475394497</v>
      </c>
      <c r="X55" s="18">
        <f>V57</f>
        <v>6.2878641842838823</v>
      </c>
      <c r="Y55" s="18">
        <f>V58</f>
        <v>71.391379031364849</v>
      </c>
      <c r="Z55" s="18">
        <f>V59</f>
        <v>71.391379031364849</v>
      </c>
    </row>
    <row r="56" spans="14:30">
      <c r="N56" s="145" t="s">
        <v>417</v>
      </c>
      <c r="O56" s="18">
        <f>R20</f>
        <v>7.2049521858233039</v>
      </c>
      <c r="P56" s="18">
        <f>0</f>
        <v>0</v>
      </c>
      <c r="Q56" s="18">
        <f>P57</f>
        <v>7.2049521858233039</v>
      </c>
      <c r="R56" s="18">
        <f>P58</f>
        <v>26.079282965603173</v>
      </c>
      <c r="S56" s="18">
        <f>P59</f>
        <v>34.784319743240644</v>
      </c>
      <c r="U56" s="145" t="s">
        <v>417</v>
      </c>
      <c r="V56" s="18">
        <f>Y21</f>
        <v>13.323081475394497</v>
      </c>
      <c r="W56" s="18">
        <f>0</f>
        <v>0</v>
      </c>
      <c r="X56" s="18">
        <f>W57</f>
        <v>13.323081475394497</v>
      </c>
      <c r="Y56" s="18">
        <f>W58</f>
        <v>71.391379031364849</v>
      </c>
      <c r="Z56" s="18">
        <f>W59</f>
        <v>71.391379031364849</v>
      </c>
    </row>
    <row r="57" spans="14:30">
      <c r="N57" s="145" t="s">
        <v>272</v>
      </c>
      <c r="O57" s="18">
        <f>R19</f>
        <v>6.2878641842838823</v>
      </c>
      <c r="P57" s="18">
        <f>R20</f>
        <v>7.2049521858233039</v>
      </c>
      <c r="Q57" s="18">
        <f>0</f>
        <v>0</v>
      </c>
      <c r="R57" s="18">
        <f>Q58</f>
        <v>26.079282965603173</v>
      </c>
      <c r="S57" s="18">
        <f>Q59</f>
        <v>34.784319743240644</v>
      </c>
      <c r="U57" s="145" t="s">
        <v>272</v>
      </c>
      <c r="V57" s="18">
        <f>Y19</f>
        <v>6.2878641842838823</v>
      </c>
      <c r="W57" s="18">
        <f>Y21</f>
        <v>13.323081475394497</v>
      </c>
      <c r="X57" s="18">
        <f>0</f>
        <v>0</v>
      </c>
      <c r="Y57" s="18">
        <f>X58</f>
        <v>71.391379031364849</v>
      </c>
      <c r="Z57" s="18">
        <f>X59</f>
        <v>71.391379031364849</v>
      </c>
    </row>
    <row r="58" spans="14:30">
      <c r="N58" s="145" t="s">
        <v>156</v>
      </c>
      <c r="O58" s="18">
        <f>R22</f>
        <v>26.079282965603173</v>
      </c>
      <c r="P58" s="18">
        <f>R22</f>
        <v>26.079282965603173</v>
      </c>
      <c r="Q58" s="18">
        <f>R22</f>
        <v>26.079282965603173</v>
      </c>
      <c r="R58" s="18">
        <f>0</f>
        <v>0</v>
      </c>
      <c r="S58" s="18">
        <f>R59</f>
        <v>34.784319743240644</v>
      </c>
      <c r="U58" s="145" t="s">
        <v>156</v>
      </c>
      <c r="V58" s="18">
        <f>Y28</f>
        <v>71.391379031364849</v>
      </c>
      <c r="W58" s="18">
        <f>Y28</f>
        <v>71.391379031364849</v>
      </c>
      <c r="X58" s="18">
        <f>Y28</f>
        <v>71.391379031364849</v>
      </c>
      <c r="Y58" s="18">
        <f>0</f>
        <v>0</v>
      </c>
      <c r="Z58" s="18">
        <f>Y59</f>
        <v>34.784319743240644</v>
      </c>
    </row>
    <row r="59" spans="14:30">
      <c r="N59" s="145" t="s">
        <v>158</v>
      </c>
      <c r="O59" s="18">
        <f>R24</f>
        <v>34.784319743240644</v>
      </c>
      <c r="P59" s="18">
        <f>R24</f>
        <v>34.784319743240644</v>
      </c>
      <c r="Q59" s="18">
        <f>R24</f>
        <v>34.784319743240644</v>
      </c>
      <c r="R59" s="18">
        <f>R24</f>
        <v>34.784319743240644</v>
      </c>
      <c r="S59" s="18">
        <f>0</f>
        <v>0</v>
      </c>
      <c r="U59" s="145" t="s">
        <v>158</v>
      </c>
      <c r="V59" s="18">
        <f>Y28</f>
        <v>71.391379031364849</v>
      </c>
      <c r="W59" s="18">
        <f>Y28</f>
        <v>71.391379031364849</v>
      </c>
      <c r="X59" s="18">
        <f>Y28</f>
        <v>71.391379031364849</v>
      </c>
      <c r="Y59" s="18">
        <f>Y24</f>
        <v>34.784319743240644</v>
      </c>
      <c r="Z59" s="18">
        <f>0</f>
        <v>0</v>
      </c>
    </row>
    <row r="60" spans="14:30" ht="13.5" thickBot="1">
      <c r="N60" s="154"/>
      <c r="O60" s="10"/>
      <c r="P60" s="10"/>
      <c r="Q60" s="10"/>
      <c r="R60" s="10"/>
      <c r="S60" s="10"/>
      <c r="U60" s="154"/>
      <c r="V60" s="10"/>
      <c r="W60" s="10"/>
      <c r="X60" s="10"/>
      <c r="Y60" s="10"/>
      <c r="Z60" s="10"/>
    </row>
    <row r="61" spans="14:30" ht="13.5" thickTop="1"/>
    <row r="63" spans="14:30">
      <c r="P63" s="23" t="s">
        <v>65</v>
      </c>
      <c r="Q63" s="23" t="s">
        <v>170</v>
      </c>
      <c r="W63" s="23" t="s">
        <v>65</v>
      </c>
      <c r="X63" s="23" t="s">
        <v>170</v>
      </c>
    </row>
    <row r="64" spans="14:30">
      <c r="P64" s="25" t="s">
        <v>66</v>
      </c>
      <c r="Q64" s="25" t="s">
        <v>66</v>
      </c>
      <c r="W64" s="25" t="s">
        <v>66</v>
      </c>
      <c r="X64" s="25" t="s">
        <v>66</v>
      </c>
    </row>
    <row r="65" spans="16:33">
      <c r="P65" s="38">
        <f>O7</f>
        <v>13.323081475394497</v>
      </c>
      <c r="Q65" s="38">
        <f>O56</f>
        <v>7.2049521858233039</v>
      </c>
      <c r="W65" s="38">
        <f>O7</f>
        <v>13.323081475394497</v>
      </c>
      <c r="X65" s="38">
        <f>V56</f>
        <v>13.323081475394497</v>
      </c>
    </row>
    <row r="66" spans="16:33">
      <c r="P66" s="38">
        <f>O8</f>
        <v>6.2878641842838823</v>
      </c>
      <c r="Q66" s="38">
        <f>O57</f>
        <v>6.2878641842838823</v>
      </c>
      <c r="W66" s="38">
        <f>O8</f>
        <v>6.2878641842838823</v>
      </c>
      <c r="X66" s="38">
        <f>V57</f>
        <v>6.2878641842838823</v>
      </c>
    </row>
    <row r="67" spans="16:33">
      <c r="P67" s="38">
        <f>O9</f>
        <v>37.45849569857284</v>
      </c>
      <c r="Q67" s="38">
        <f>O58</f>
        <v>26.079282965603173</v>
      </c>
      <c r="W67" s="38">
        <f>O9</f>
        <v>37.45849569857284</v>
      </c>
      <c r="X67" s="38">
        <f>V58</f>
        <v>71.391379031364849</v>
      </c>
    </row>
    <row r="68" spans="16:33">
      <c r="P68" s="38">
        <f>O10</f>
        <v>71.391379031364849</v>
      </c>
      <c r="Q68" s="38">
        <f>O59</f>
        <v>34.784319743240644</v>
      </c>
      <c r="W68" s="38">
        <f>O10</f>
        <v>71.391379031364849</v>
      </c>
      <c r="X68" s="38">
        <f>V59</f>
        <v>71.391379031364849</v>
      </c>
    </row>
    <row r="69" spans="16:33">
      <c r="P69" s="38">
        <f>P8</f>
        <v>7.2049521858233039</v>
      </c>
      <c r="Q69" s="38">
        <f>P57</f>
        <v>7.2049521858233039</v>
      </c>
      <c r="W69" s="38">
        <f>P8</f>
        <v>7.2049521858233039</v>
      </c>
      <c r="X69" s="38">
        <f>W57</f>
        <v>13.323081475394497</v>
      </c>
    </row>
    <row r="70" spans="16:33">
      <c r="P70" s="38">
        <f>P9</f>
        <v>26.079282965603173</v>
      </c>
      <c r="Q70" s="38">
        <f>P58</f>
        <v>26.079282965603173</v>
      </c>
      <c r="W70" s="38">
        <f>P9</f>
        <v>26.079282965603173</v>
      </c>
      <c r="X70" s="38">
        <f>W58</f>
        <v>71.391379031364849</v>
      </c>
    </row>
    <row r="71" spans="16:33">
      <c r="P71" s="38">
        <f>P10</f>
        <v>60.070847338788226</v>
      </c>
      <c r="Q71" s="38">
        <f>P59</f>
        <v>34.784319743240644</v>
      </c>
      <c r="W71" s="38">
        <f>P10</f>
        <v>60.070847338788226</v>
      </c>
      <c r="X71" s="38">
        <f>W59</f>
        <v>71.391379031364849</v>
      </c>
    </row>
    <row r="72" spans="16:33">
      <c r="P72" s="38">
        <f>Q9</f>
        <v>32.184352347064554</v>
      </c>
      <c r="Q72" s="38">
        <f>Q58</f>
        <v>26.079282965603173</v>
      </c>
      <c r="W72" s="38">
        <f>Q9</f>
        <v>32.184352347064554</v>
      </c>
      <c r="X72" s="38">
        <f>X58</f>
        <v>71.391379031364849</v>
      </c>
    </row>
    <row r="73" spans="16:33">
      <c r="P73" s="38">
        <f>Q10</f>
        <v>66.07363858605035</v>
      </c>
      <c r="Q73" s="38">
        <f>Q59</f>
        <v>34.784319743240644</v>
      </c>
      <c r="W73" s="38">
        <f>Q10</f>
        <v>66.07363858605035</v>
      </c>
      <c r="X73" s="38">
        <f>X59</f>
        <v>71.391379031364849</v>
      </c>
    </row>
    <row r="74" spans="16:33">
      <c r="P74" s="38">
        <f>R10</f>
        <v>34.784319743240644</v>
      </c>
      <c r="Q74" s="38">
        <f>R59</f>
        <v>34.784319743240644</v>
      </c>
      <c r="W74" s="38">
        <f>R10</f>
        <v>34.784319743240644</v>
      </c>
      <c r="X74" s="38">
        <f>Y59</f>
        <v>34.784319743240644</v>
      </c>
    </row>
    <row r="76" spans="16:33" ht="13.5" thickBot="1">
      <c r="P76" s="2" t="s">
        <v>64</v>
      </c>
      <c r="Q76" s="38">
        <f>CORREL(P65:P74,Q65:Q74)</f>
        <v>0.88309547428737778</v>
      </c>
      <c r="W76" s="2" t="s">
        <v>64</v>
      </c>
      <c r="X76" s="38">
        <f>CORREL(W65:W74,X65:X74)</f>
        <v>0.78294899277604346</v>
      </c>
      <c r="AB76" s="10" t="s">
        <v>172</v>
      </c>
      <c r="AC76" s="10"/>
      <c r="AD76" s="10"/>
      <c r="AE76" s="10"/>
      <c r="AF76" s="10"/>
      <c r="AG76" s="10"/>
    </row>
    <row r="77" spans="16:33" ht="13.5" thickTop="1">
      <c r="AB77" s="142" t="s">
        <v>276</v>
      </c>
      <c r="AC77" s="143" t="s">
        <v>413</v>
      </c>
      <c r="AD77" s="143" t="s">
        <v>417</v>
      </c>
      <c r="AE77" s="143" t="s">
        <v>272</v>
      </c>
      <c r="AF77" s="143" t="s">
        <v>156</v>
      </c>
      <c r="AG77" s="143" t="s">
        <v>158</v>
      </c>
    </row>
    <row r="78" spans="16:33">
      <c r="AB78" s="144" t="s">
        <v>413</v>
      </c>
      <c r="AC78" s="18">
        <f>0</f>
        <v>0</v>
      </c>
      <c r="AD78" s="18">
        <f>AC79</f>
        <v>10.264016830608901</v>
      </c>
      <c r="AE78" s="18">
        <f>AC80</f>
        <v>6.2878641842838823</v>
      </c>
      <c r="AF78" s="18">
        <f>AC81</f>
        <v>31.907377003746859</v>
      </c>
      <c r="AG78" s="18">
        <f>AC82</f>
        <v>58.080046174861018</v>
      </c>
    </row>
    <row r="79" spans="16:33">
      <c r="AB79" s="145" t="s">
        <v>417</v>
      </c>
      <c r="AC79" s="18">
        <f>AC31</f>
        <v>10.264016830608901</v>
      </c>
      <c r="AD79" s="18">
        <f>0</f>
        <v>0</v>
      </c>
      <c r="AE79" s="18">
        <f>AD80</f>
        <v>10.264016830608901</v>
      </c>
      <c r="AF79" s="18">
        <f>AD81</f>
        <v>31.907377003746859</v>
      </c>
      <c r="AG79" s="18">
        <f>AD82</f>
        <v>58.080046174861018</v>
      </c>
    </row>
    <row r="80" spans="16:33">
      <c r="AB80" s="145" t="s">
        <v>272</v>
      </c>
      <c r="AC80" s="18">
        <f>AC22</f>
        <v>6.2878641842838823</v>
      </c>
      <c r="AD80" s="18">
        <f>AC31</f>
        <v>10.264016830608901</v>
      </c>
      <c r="AE80" s="18">
        <f>0</f>
        <v>0</v>
      </c>
      <c r="AF80" s="18">
        <f>AE81</f>
        <v>31.907377003746859</v>
      </c>
      <c r="AG80" s="18">
        <f>AE82</f>
        <v>58.080046174861018</v>
      </c>
    </row>
    <row r="81" spans="28:33">
      <c r="AB81" s="145" t="s">
        <v>156</v>
      </c>
      <c r="AC81" s="18">
        <f>AC40</f>
        <v>31.907377003746859</v>
      </c>
      <c r="AD81" s="18">
        <f>AC40</f>
        <v>31.907377003746859</v>
      </c>
      <c r="AE81" s="18">
        <f>AC40</f>
        <v>31.907377003746859</v>
      </c>
      <c r="AF81" s="18">
        <f>0</f>
        <v>0</v>
      </c>
      <c r="AG81" s="18">
        <f>AF82</f>
        <v>58.080046174861018</v>
      </c>
    </row>
    <row r="82" spans="28:33">
      <c r="AB82" s="145" t="s">
        <v>158</v>
      </c>
      <c r="AC82" s="18">
        <f>AC48</f>
        <v>58.080046174861018</v>
      </c>
      <c r="AD82" s="18">
        <f>AC48</f>
        <v>58.080046174861018</v>
      </c>
      <c r="AE82" s="18">
        <f>AC48</f>
        <v>58.080046174861018</v>
      </c>
      <c r="AF82" s="18">
        <f>AC48</f>
        <v>58.080046174861018</v>
      </c>
      <c r="AG82" s="18">
        <f>0</f>
        <v>0</v>
      </c>
    </row>
    <row r="83" spans="28:33" ht="13.5" thickBot="1">
      <c r="AB83" s="154"/>
      <c r="AC83" s="10"/>
      <c r="AD83" s="10"/>
      <c r="AE83" s="10"/>
      <c r="AF83" s="10"/>
      <c r="AG83" s="10"/>
    </row>
    <row r="84" spans="28:33" ht="13.5" thickTop="1"/>
    <row r="86" spans="28:33">
      <c r="AD86" s="23" t="s">
        <v>65</v>
      </c>
      <c r="AE86" s="23" t="s">
        <v>170</v>
      </c>
    </row>
    <row r="87" spans="28:33">
      <c r="AD87" s="25" t="s">
        <v>66</v>
      </c>
      <c r="AE87" s="25" t="s">
        <v>66</v>
      </c>
    </row>
    <row r="88" spans="28:33">
      <c r="AD88" s="38">
        <f>W65</f>
        <v>13.323081475394497</v>
      </c>
      <c r="AE88" s="38">
        <f>AC79</f>
        <v>10.264016830608901</v>
      </c>
    </row>
    <row r="89" spans="28:33">
      <c r="AD89" s="38">
        <f>W66</f>
        <v>6.2878641842838823</v>
      </c>
      <c r="AE89" s="38">
        <f>AC80</f>
        <v>6.2878641842838823</v>
      </c>
    </row>
    <row r="90" spans="28:33">
      <c r="AD90" s="38">
        <f t="shared" ref="AD90:AD97" si="0">W67</f>
        <v>37.45849569857284</v>
      </c>
      <c r="AE90" s="38">
        <f>AC81</f>
        <v>31.907377003746859</v>
      </c>
    </row>
    <row r="91" spans="28:33">
      <c r="AD91" s="38">
        <f t="shared" si="0"/>
        <v>71.391379031364849</v>
      </c>
      <c r="AE91" s="38">
        <f>AC82</f>
        <v>58.080046174861018</v>
      </c>
    </row>
    <row r="92" spans="28:33">
      <c r="AD92" s="38">
        <f t="shared" si="0"/>
        <v>7.2049521858233039</v>
      </c>
      <c r="AE92" s="38">
        <f>AD80</f>
        <v>10.264016830608901</v>
      </c>
    </row>
    <row r="93" spans="28:33">
      <c r="AD93" s="38">
        <f t="shared" si="0"/>
        <v>26.079282965603173</v>
      </c>
      <c r="AE93" s="38">
        <f>AD81</f>
        <v>31.907377003746859</v>
      </c>
    </row>
    <row r="94" spans="28:33">
      <c r="AD94" s="38">
        <f t="shared" si="0"/>
        <v>60.070847338788226</v>
      </c>
      <c r="AE94" s="38">
        <f>AD82</f>
        <v>58.080046174861018</v>
      </c>
    </row>
    <row r="95" spans="28:33">
      <c r="AD95" s="38">
        <f t="shared" si="0"/>
        <v>32.184352347064554</v>
      </c>
      <c r="AE95" s="38">
        <f>AE81</f>
        <v>31.907377003746859</v>
      </c>
    </row>
    <row r="96" spans="28:33">
      <c r="AD96" s="38">
        <f t="shared" si="0"/>
        <v>66.07363858605035</v>
      </c>
      <c r="AE96" s="38">
        <f>AE82</f>
        <v>58.080046174861018</v>
      </c>
    </row>
    <row r="97" spans="30:31">
      <c r="AD97" s="38">
        <f t="shared" si="0"/>
        <v>34.784319743240644</v>
      </c>
      <c r="AE97" s="38">
        <f>AF82</f>
        <v>58.080046174861018</v>
      </c>
    </row>
    <row r="99" spans="30:31">
      <c r="AD99" s="2" t="s">
        <v>64</v>
      </c>
      <c r="AE99" s="38">
        <f>CORREL(AD88:AD97,AE88:AE97)</f>
        <v>0.91014479914656654</v>
      </c>
    </row>
  </sheetData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T173"/>
  <sheetViews>
    <sheetView workbookViewId="0">
      <selection activeCell="AF149" sqref="AF149"/>
    </sheetView>
  </sheetViews>
  <sheetFormatPr defaultColWidth="10.75" defaultRowHeight="12.75"/>
  <cols>
    <col min="1" max="1" width="13.75" style="75" customWidth="1"/>
    <col min="2" max="2" width="6.875" style="75" customWidth="1"/>
    <col min="3" max="3" width="6.125" style="75" customWidth="1"/>
    <col min="4" max="4" width="2.25" style="75" customWidth="1"/>
    <col min="5" max="7" width="6.125" style="75" customWidth="1"/>
    <col min="8" max="8" width="6.875" style="75" customWidth="1"/>
    <col min="9" max="9" width="6.125" style="75" customWidth="1"/>
    <col min="10" max="10" width="2.25" style="75" customWidth="1"/>
    <col min="11" max="13" width="6.125" style="75" customWidth="1"/>
    <col min="14" max="14" width="6.875" style="75" customWidth="1"/>
    <col min="15" max="15" width="6.125" style="75" customWidth="1"/>
    <col min="16" max="16" width="2.25" style="75" customWidth="1"/>
    <col min="17" max="18" width="6.125" style="75" customWidth="1"/>
    <col min="19" max="20" width="4.625" style="75" customWidth="1"/>
    <col min="21" max="21" width="10.75" style="75"/>
    <col min="22" max="23" width="10.25" style="75" customWidth="1"/>
    <col min="24" max="24" width="4" style="75" customWidth="1"/>
    <col min="25" max="27" width="10.25" style="75" customWidth="1"/>
    <col min="28" max="28" width="2.875" style="75" customWidth="1"/>
    <col min="29" max="30" width="10.75" style="75"/>
    <col min="31" max="31" width="4" style="75" customWidth="1"/>
    <col min="32" max="34" width="10.25" style="75" customWidth="1"/>
    <col min="35" max="48" width="10.75" style="75"/>
    <col min="49" max="49" width="3.625" style="75" customWidth="1"/>
    <col min="50" max="58" width="10.75" style="75"/>
    <col min="59" max="61" width="12.375" style="75" customWidth="1"/>
    <col min="62" max="16384" width="10.75" style="75"/>
  </cols>
  <sheetData>
    <row r="1" spans="1:69">
      <c r="A1" s="124" t="s">
        <v>373</v>
      </c>
    </row>
    <row r="2" spans="1:69">
      <c r="AC2" s="75">
        <f>(AC6*0.908)+(AD6*0.419)</f>
        <v>7.3755999999999433E-2</v>
      </c>
    </row>
    <row r="3" spans="1:69">
      <c r="B3" s="185" t="s">
        <v>164</v>
      </c>
      <c r="C3" s="185"/>
      <c r="D3" s="185"/>
      <c r="E3" s="185"/>
      <c r="F3" s="185"/>
      <c r="H3" s="185" t="s">
        <v>148</v>
      </c>
      <c r="I3" s="185"/>
      <c r="J3" s="185"/>
      <c r="K3" s="185"/>
      <c r="L3" s="185"/>
      <c r="N3" s="185" t="s">
        <v>149</v>
      </c>
      <c r="O3" s="185"/>
      <c r="P3" s="185"/>
      <c r="Q3" s="185"/>
      <c r="R3" s="185"/>
      <c r="T3" s="130"/>
      <c r="U3" s="75" t="s">
        <v>471</v>
      </c>
    </row>
    <row r="4" spans="1:69">
      <c r="B4" s="186" t="s">
        <v>163</v>
      </c>
      <c r="C4" s="186"/>
      <c r="E4" s="186" t="s">
        <v>41</v>
      </c>
      <c r="F4" s="186"/>
      <c r="H4" s="186" t="s">
        <v>163</v>
      </c>
      <c r="I4" s="186"/>
      <c r="K4" s="186" t="s">
        <v>41</v>
      </c>
      <c r="L4" s="186"/>
      <c r="N4" s="186" t="s">
        <v>163</v>
      </c>
      <c r="O4" s="186"/>
      <c r="Q4" s="186" t="s">
        <v>41</v>
      </c>
      <c r="R4" s="186"/>
      <c r="T4" s="130"/>
      <c r="V4" s="186" t="s">
        <v>300</v>
      </c>
      <c r="W4" s="186"/>
      <c r="X4" s="186"/>
      <c r="Y4" s="186"/>
      <c r="Z4" s="186"/>
      <c r="AA4" s="186"/>
      <c r="AC4" s="186" t="s">
        <v>299</v>
      </c>
      <c r="AD4" s="186"/>
      <c r="AE4" s="186"/>
      <c r="AF4" s="186"/>
      <c r="AG4" s="186"/>
      <c r="AH4" s="186"/>
      <c r="BG4" s="75" t="s">
        <v>112</v>
      </c>
    </row>
    <row r="5" spans="1:69">
      <c r="B5" s="81" t="s">
        <v>333</v>
      </c>
      <c r="C5" s="81" t="s">
        <v>334</v>
      </c>
      <c r="D5" s="81"/>
      <c r="E5" s="81" t="s">
        <v>333</v>
      </c>
      <c r="F5" s="81" t="s">
        <v>334</v>
      </c>
      <c r="H5" s="81" t="s">
        <v>333</v>
      </c>
      <c r="I5" s="81" t="s">
        <v>334</v>
      </c>
      <c r="J5" s="81"/>
      <c r="K5" s="81" t="s">
        <v>333</v>
      </c>
      <c r="L5" s="81" t="s">
        <v>334</v>
      </c>
      <c r="N5" s="81" t="s">
        <v>333</v>
      </c>
      <c r="O5" s="81" t="s">
        <v>334</v>
      </c>
      <c r="P5" s="81"/>
      <c r="Q5" s="81" t="s">
        <v>333</v>
      </c>
      <c r="R5" s="81" t="s">
        <v>334</v>
      </c>
      <c r="T5" s="130"/>
      <c r="V5" s="104" t="s">
        <v>472</v>
      </c>
      <c r="W5" s="104" t="s">
        <v>473</v>
      </c>
      <c r="X5" s="81"/>
      <c r="Y5" s="104" t="s">
        <v>310</v>
      </c>
      <c r="Z5" s="104" t="s">
        <v>311</v>
      </c>
      <c r="AA5" s="104" t="s">
        <v>312</v>
      </c>
      <c r="AC5" s="81" t="s">
        <v>472</v>
      </c>
      <c r="AD5" s="81" t="s">
        <v>473</v>
      </c>
      <c r="AE5" s="81"/>
      <c r="AF5" s="104" t="s">
        <v>310</v>
      </c>
      <c r="AG5" s="104" t="s">
        <v>311</v>
      </c>
      <c r="AH5" s="104" t="s">
        <v>312</v>
      </c>
      <c r="AJ5" s="103" t="s">
        <v>295</v>
      </c>
      <c r="AN5" s="75" t="s">
        <v>285</v>
      </c>
      <c r="AU5" s="104" t="s">
        <v>291</v>
      </c>
      <c r="AV5" s="104" t="s">
        <v>292</v>
      </c>
      <c r="AX5" s="104" t="s">
        <v>106</v>
      </c>
      <c r="AY5" s="104" t="s">
        <v>107</v>
      </c>
      <c r="BA5" s="82" t="s">
        <v>109</v>
      </c>
      <c r="BK5" s="75" t="s">
        <v>404</v>
      </c>
      <c r="BQ5" s="75" t="s">
        <v>405</v>
      </c>
    </row>
    <row r="6" spans="1:69">
      <c r="T6" s="130"/>
      <c r="U6" s="82" t="s">
        <v>296</v>
      </c>
      <c r="V6" s="83">
        <f>B50</f>
        <v>-0.77200000000000024</v>
      </c>
      <c r="W6" s="83">
        <f>C50</f>
        <v>0.43866666666666676</v>
      </c>
      <c r="X6" s="83"/>
      <c r="Y6" s="83">
        <f>V6*V6</f>
        <v>0.5959840000000004</v>
      </c>
      <c r="Z6" s="83">
        <f>V6*W6</f>
        <v>-0.33865066666666682</v>
      </c>
      <c r="AA6" s="83">
        <f>W6*W6</f>
        <v>0.19242844444444451</v>
      </c>
      <c r="AC6" s="83">
        <f>V6-$B$81</f>
        <v>7.1999999999999398E-2</v>
      </c>
      <c r="AD6" s="83">
        <f>W6-$C$81</f>
        <v>1.9999999999999962E-2</v>
      </c>
      <c r="AE6" s="81"/>
      <c r="AF6" s="83">
        <f>AC6*AC6</f>
        <v>5.1839999999999135E-3</v>
      </c>
      <c r="AG6" s="83">
        <f>AC6*AD6</f>
        <v>1.4399999999999853E-3</v>
      </c>
      <c r="AH6" s="83">
        <f>AD6*AD6</f>
        <v>3.999999999999985E-4</v>
      </c>
      <c r="AT6" s="82" t="s">
        <v>296</v>
      </c>
      <c r="AU6" s="83">
        <f t="shared" ref="AU6:AU37" si="0">(V6*$AK$30)+(W6*$AK$31)</f>
        <v>-0.51730271866666688</v>
      </c>
      <c r="AV6" s="83">
        <f t="shared" ref="AV6:AV37" si="1">(V6*$AL$30)+(W6*$AL$31)</f>
        <v>0.72167239600000022</v>
      </c>
      <c r="AX6" s="83">
        <f t="shared" ref="AX6:AX37" si="2">AU6*(1/$AK$36)</f>
        <v>-0.84815121955719464</v>
      </c>
      <c r="AY6" s="83">
        <f t="shared" ref="AY6:AY37" si="3">AV6*(1/$AL$36)</f>
        <v>2.6529204895033645</v>
      </c>
      <c r="BH6" s="186" t="s">
        <v>111</v>
      </c>
      <c r="BI6" s="186"/>
    </row>
    <row r="7" spans="1:69">
      <c r="A7" s="75">
        <v>1</v>
      </c>
      <c r="B7" s="123">
        <v>5.0999999999999996</v>
      </c>
      <c r="C7" s="123">
        <v>3.5</v>
      </c>
      <c r="D7" s="123"/>
      <c r="E7" s="123">
        <v>1.4</v>
      </c>
      <c r="F7" s="123">
        <v>0.2</v>
      </c>
      <c r="H7" s="87">
        <v>7</v>
      </c>
      <c r="I7" s="87">
        <v>3.2</v>
      </c>
      <c r="K7" s="87">
        <v>4.7</v>
      </c>
      <c r="L7" s="87">
        <v>1.4</v>
      </c>
      <c r="N7" s="87">
        <v>6.3</v>
      </c>
      <c r="O7" s="87">
        <v>3.3</v>
      </c>
      <c r="Q7" s="87">
        <v>6</v>
      </c>
      <c r="R7" s="87">
        <v>2.5</v>
      </c>
      <c r="T7" s="130"/>
      <c r="U7" s="82" t="s">
        <v>296</v>
      </c>
      <c r="V7" s="83">
        <f t="shared" ref="V7:V30" si="4">B51</f>
        <v>-0.97199999999999953</v>
      </c>
      <c r="W7" s="83">
        <f t="shared" ref="W7:W30" si="5">C51</f>
        <v>-6.133333333333324E-2</v>
      </c>
      <c r="X7" s="83"/>
      <c r="Y7" s="83">
        <f t="shared" ref="Y7:Y70" si="6">V7*V7</f>
        <v>0.94478399999999907</v>
      </c>
      <c r="Z7" s="83">
        <f t="shared" ref="Z7:Z70" si="7">V7*W7</f>
        <v>5.9615999999999877E-2</v>
      </c>
      <c r="AA7" s="83">
        <f t="shared" ref="AA7:AA70" si="8">W7*W7</f>
        <v>3.7617777777777662E-3</v>
      </c>
      <c r="AC7" s="83">
        <f t="shared" ref="AC7:AC30" si="9">V7-$B$81</f>
        <v>-0.12799999999999989</v>
      </c>
      <c r="AD7" s="83">
        <f t="shared" ref="AD7:AD30" si="10">W7-$C$81</f>
        <v>-0.48000000000000004</v>
      </c>
      <c r="AE7" s="81"/>
      <c r="AF7" s="83">
        <f t="shared" ref="AF7:AF70" si="11">AC7*AC7</f>
        <v>1.6383999999999972E-2</v>
      </c>
      <c r="AG7" s="83">
        <f t="shared" ref="AG7:AG70" si="12">AC7*AD7</f>
        <v>6.1439999999999953E-2</v>
      </c>
      <c r="AH7" s="83">
        <f t="shared" ref="AH7:AH70" si="13">AD7*AD7</f>
        <v>0.23040000000000005</v>
      </c>
      <c r="AK7" s="104" t="s">
        <v>472</v>
      </c>
      <c r="AL7" s="104" t="s">
        <v>473</v>
      </c>
      <c r="AT7" s="82" t="s">
        <v>296</v>
      </c>
      <c r="AU7" s="83">
        <f t="shared" si="0"/>
        <v>-0.9083291186666661</v>
      </c>
      <c r="AV7" s="83">
        <f t="shared" si="1"/>
        <v>0.35140409599999989</v>
      </c>
      <c r="AX7" s="83">
        <f t="shared" si="2"/>
        <v>-1.4892642585411691</v>
      </c>
      <c r="AY7" s="83">
        <f t="shared" si="3"/>
        <v>1.2917871482142802</v>
      </c>
      <c r="BH7" s="104" t="s">
        <v>106</v>
      </c>
      <c r="BI7" s="104" t="s">
        <v>107</v>
      </c>
    </row>
    <row r="8" spans="1:69">
      <c r="A8" s="75">
        <v>2</v>
      </c>
      <c r="B8" s="123">
        <v>4.9000000000000004</v>
      </c>
      <c r="C8" s="123">
        <v>3</v>
      </c>
      <c r="D8" s="123"/>
      <c r="E8" s="123">
        <v>1.4</v>
      </c>
      <c r="F8" s="123">
        <v>0.2</v>
      </c>
      <c r="H8" s="87">
        <v>6.4</v>
      </c>
      <c r="I8" s="87">
        <v>3.2</v>
      </c>
      <c r="K8" s="87">
        <v>4.5</v>
      </c>
      <c r="L8" s="87">
        <v>1.5</v>
      </c>
      <c r="N8" s="87">
        <v>5.8</v>
      </c>
      <c r="O8" s="87">
        <v>2.7</v>
      </c>
      <c r="Q8" s="87">
        <v>5.0999999999999996</v>
      </c>
      <c r="R8" s="87">
        <v>1.9</v>
      </c>
      <c r="T8" s="130"/>
      <c r="U8" s="82" t="s">
        <v>296</v>
      </c>
      <c r="V8" s="83">
        <f t="shared" si="4"/>
        <v>-1.1719999999999997</v>
      </c>
      <c r="W8" s="83">
        <f t="shared" si="5"/>
        <v>0.13866666666666694</v>
      </c>
      <c r="X8" s="83"/>
      <c r="Y8" s="83">
        <f t="shared" si="6"/>
        <v>1.3735839999999993</v>
      </c>
      <c r="Z8" s="83">
        <f t="shared" si="7"/>
        <v>-0.16251733333333362</v>
      </c>
      <c r="AA8" s="83">
        <f t="shared" si="8"/>
        <v>1.922844444444452E-2</v>
      </c>
      <c r="AC8" s="83">
        <f t="shared" si="9"/>
        <v>-0.32800000000000007</v>
      </c>
      <c r="AD8" s="83">
        <f t="shared" si="10"/>
        <v>-0.27999999999999986</v>
      </c>
      <c r="AE8" s="81"/>
      <c r="AF8" s="83">
        <f>AC8*AC8</f>
        <v>0.10758400000000004</v>
      </c>
      <c r="AG8" s="83">
        <f t="shared" si="12"/>
        <v>9.1839999999999977E-2</v>
      </c>
      <c r="AH8" s="83">
        <f t="shared" si="13"/>
        <v>7.8399999999999928E-2</v>
      </c>
      <c r="AJ8" s="106" t="s">
        <v>472</v>
      </c>
      <c r="AK8" s="83">
        <f>Y83</f>
        <v>0.75460000000000005</v>
      </c>
      <c r="AL8" s="83">
        <f>Z83</f>
        <v>-5.2794444444444415E-2</v>
      </c>
      <c r="AT8" s="82" t="s">
        <v>296</v>
      </c>
      <c r="AU8" s="83">
        <f t="shared" si="0"/>
        <v>-1.0061773186666663</v>
      </c>
      <c r="AV8" s="83">
        <f t="shared" si="1"/>
        <v>0.61678269600000013</v>
      </c>
      <c r="AX8" s="83">
        <f t="shared" si="2"/>
        <v>-1.6496927024035577</v>
      </c>
      <c r="AY8" s="83">
        <f t="shared" si="3"/>
        <v>2.2673382837681997</v>
      </c>
      <c r="BG8" s="141" t="s">
        <v>296</v>
      </c>
      <c r="BH8" s="83">
        <f>AVERAGE(AX6:AX30)</f>
        <v>-0.96908114899220532</v>
      </c>
      <c r="BI8" s="83">
        <f>AVERAGE(AY6:AY30)</f>
        <v>2.6970117956319801</v>
      </c>
    </row>
    <row r="9" spans="1:69">
      <c r="A9" s="75">
        <v>3</v>
      </c>
      <c r="B9" s="123">
        <v>4.7</v>
      </c>
      <c r="C9" s="123">
        <v>3.2</v>
      </c>
      <c r="D9" s="123"/>
      <c r="E9" s="123">
        <v>1.3</v>
      </c>
      <c r="F9" s="123">
        <v>0.2</v>
      </c>
      <c r="H9" s="87">
        <v>6.9</v>
      </c>
      <c r="I9" s="87">
        <v>3.1</v>
      </c>
      <c r="K9" s="87">
        <v>4.9000000000000004</v>
      </c>
      <c r="L9" s="87">
        <v>1.5</v>
      </c>
      <c r="N9" s="87">
        <v>7.1</v>
      </c>
      <c r="O9" s="87">
        <v>3</v>
      </c>
      <c r="Q9" s="87">
        <v>5.9</v>
      </c>
      <c r="R9" s="87">
        <v>2.1</v>
      </c>
      <c r="T9" s="130"/>
      <c r="U9" s="82" t="s">
        <v>296</v>
      </c>
      <c r="V9" s="83">
        <f t="shared" si="4"/>
        <v>-1.2720000000000002</v>
      </c>
      <c r="W9" s="83">
        <f t="shared" si="5"/>
        <v>3.8666666666666849E-2</v>
      </c>
      <c r="X9" s="83"/>
      <c r="Y9" s="83">
        <f t="shared" si="6"/>
        <v>1.6179840000000005</v>
      </c>
      <c r="Z9" s="83">
        <f t="shared" si="7"/>
        <v>-4.9184000000000241E-2</v>
      </c>
      <c r="AA9" s="83">
        <f t="shared" si="8"/>
        <v>1.4951111111111252E-3</v>
      </c>
      <c r="AC9" s="83">
        <f t="shared" si="9"/>
        <v>-0.4280000000000006</v>
      </c>
      <c r="AD9" s="83">
        <f t="shared" si="10"/>
        <v>-0.37999999999999995</v>
      </c>
      <c r="AE9" s="81"/>
      <c r="AF9" s="83">
        <f t="shared" si="11"/>
        <v>0.18318400000000051</v>
      </c>
      <c r="AG9" s="83">
        <f t="shared" si="12"/>
        <v>0.1626400000000002</v>
      </c>
      <c r="AH9" s="83">
        <f t="shared" si="13"/>
        <v>0.14439999999999997</v>
      </c>
      <c r="AJ9" s="106" t="s">
        <v>473</v>
      </c>
      <c r="AK9" s="83">
        <f>Z83</f>
        <v>-5.2794444444444415E-2</v>
      </c>
      <c r="AL9" s="83">
        <f>AA83</f>
        <v>0.2255259259259258</v>
      </c>
      <c r="AT9" s="82" t="s">
        <v>296</v>
      </c>
      <c r="AU9" s="83">
        <f t="shared" si="0"/>
        <v>-1.1388666186666667</v>
      </c>
      <c r="AV9" s="83">
        <f t="shared" si="1"/>
        <v>0.56785859600000022</v>
      </c>
      <c r="AX9" s="83">
        <f t="shared" si="2"/>
        <v>-1.8672453800837776</v>
      </c>
      <c r="AY9" s="83">
        <f t="shared" si="3"/>
        <v>2.0874897153043017</v>
      </c>
      <c r="BG9" s="141" t="s">
        <v>297</v>
      </c>
      <c r="BH9" s="83">
        <f>AVERAGE(AX31:AX55)</f>
        <v>1.25006328593807E-2</v>
      </c>
      <c r="BI9" s="83">
        <f>AVERAGE(AY31:AY55)</f>
        <v>-1.1680260005560994</v>
      </c>
    </row>
    <row r="10" spans="1:69">
      <c r="A10" s="75">
        <v>4</v>
      </c>
      <c r="B10" s="123">
        <v>4.5999999999999996</v>
      </c>
      <c r="C10" s="123">
        <v>3.1</v>
      </c>
      <c r="D10" s="123"/>
      <c r="E10" s="123">
        <v>1.5</v>
      </c>
      <c r="F10" s="123">
        <v>0.2</v>
      </c>
      <c r="H10" s="87">
        <v>5.5</v>
      </c>
      <c r="I10" s="87">
        <v>2.2999999999999998</v>
      </c>
      <c r="K10" s="87">
        <v>4</v>
      </c>
      <c r="L10" s="87">
        <v>1.3</v>
      </c>
      <c r="N10" s="87">
        <v>6.3</v>
      </c>
      <c r="O10" s="87">
        <v>2.9</v>
      </c>
      <c r="Q10" s="87">
        <v>5.6</v>
      </c>
      <c r="R10" s="87">
        <v>1.8</v>
      </c>
      <c r="T10" s="130"/>
      <c r="U10" s="82" t="s">
        <v>296</v>
      </c>
      <c r="V10" s="83">
        <f t="shared" si="4"/>
        <v>-0.87199999999999989</v>
      </c>
      <c r="W10" s="83">
        <f t="shared" si="5"/>
        <v>0.53866666666666685</v>
      </c>
      <c r="X10" s="83"/>
      <c r="Y10" s="83">
        <f t="shared" si="6"/>
        <v>0.76038399999999984</v>
      </c>
      <c r="Z10" s="83">
        <f t="shared" si="7"/>
        <v>-0.46971733333333343</v>
      </c>
      <c r="AA10" s="83">
        <f t="shared" si="8"/>
        <v>0.29016177777777796</v>
      </c>
      <c r="AC10" s="83">
        <f t="shared" si="9"/>
        <v>-2.8000000000000247E-2</v>
      </c>
      <c r="AD10" s="83">
        <f t="shared" si="10"/>
        <v>0.12000000000000005</v>
      </c>
      <c r="AE10" s="81"/>
      <c r="AF10" s="83">
        <f t="shared" si="11"/>
        <v>7.8400000000001385E-4</v>
      </c>
      <c r="AG10" s="83">
        <f t="shared" si="12"/>
        <v>-3.3600000000000309E-3</v>
      </c>
      <c r="AH10" s="83">
        <f t="shared" si="13"/>
        <v>1.4400000000000012E-2</v>
      </c>
      <c r="AT10" s="82" t="s">
        <v>296</v>
      </c>
      <c r="AU10" s="83">
        <f t="shared" si="0"/>
        <v>-0.56622681866666635</v>
      </c>
      <c r="AV10" s="83">
        <f t="shared" si="1"/>
        <v>0.85436169600000011</v>
      </c>
      <c r="AX10" s="83">
        <f t="shared" si="2"/>
        <v>-0.92836544148838807</v>
      </c>
      <c r="AY10" s="83">
        <f t="shared" si="3"/>
        <v>3.1406960572803233</v>
      </c>
      <c r="BG10" s="141" t="s">
        <v>298</v>
      </c>
      <c r="BH10" s="83">
        <f>AVERAGE(AX56:AX80)</f>
        <v>0.95658051613282524</v>
      </c>
      <c r="BI10" s="83">
        <f>AVERAGE(AY56:AY80)</f>
        <v>-1.5289857950758801</v>
      </c>
    </row>
    <row r="11" spans="1:69">
      <c r="A11" s="75">
        <v>5</v>
      </c>
      <c r="B11" s="123">
        <v>5</v>
      </c>
      <c r="C11" s="123">
        <v>3.6</v>
      </c>
      <c r="D11" s="123"/>
      <c r="E11" s="123">
        <v>1.4</v>
      </c>
      <c r="F11" s="123">
        <v>0.2</v>
      </c>
      <c r="H11" s="87">
        <v>6.5</v>
      </c>
      <c r="I11" s="87">
        <v>2.8</v>
      </c>
      <c r="K11" s="87">
        <v>4.5999999999999996</v>
      </c>
      <c r="L11" s="87">
        <v>1.5</v>
      </c>
      <c r="N11" s="87">
        <v>6.5</v>
      </c>
      <c r="O11" s="87">
        <v>3</v>
      </c>
      <c r="Q11" s="87">
        <v>5.8</v>
      </c>
      <c r="R11" s="87">
        <v>2.2000000000000002</v>
      </c>
      <c r="T11" s="130"/>
      <c r="U11" s="82" t="s">
        <v>296</v>
      </c>
      <c r="V11" s="83">
        <f t="shared" si="4"/>
        <v>-0.47199999999999953</v>
      </c>
      <c r="W11" s="83">
        <f t="shared" si="5"/>
        <v>0.83866666666666667</v>
      </c>
      <c r="X11" s="83"/>
      <c r="Y11" s="83">
        <f t="shared" si="6"/>
        <v>0.22278399999999957</v>
      </c>
      <c r="Z11" s="83">
        <f t="shared" si="7"/>
        <v>-0.3958506666666663</v>
      </c>
      <c r="AA11" s="83">
        <f t="shared" si="8"/>
        <v>0.70336177777777775</v>
      </c>
      <c r="AC11" s="83">
        <f t="shared" si="9"/>
        <v>0.37200000000000011</v>
      </c>
      <c r="AD11" s="83">
        <f t="shared" si="10"/>
        <v>0.41999999999999987</v>
      </c>
      <c r="AE11" s="81"/>
      <c r="AF11" s="83">
        <f t="shared" si="11"/>
        <v>0.13838400000000009</v>
      </c>
      <c r="AG11" s="83">
        <f t="shared" si="12"/>
        <v>0.15623999999999999</v>
      </c>
      <c r="AH11" s="83">
        <f t="shared" si="13"/>
        <v>0.17639999999999989</v>
      </c>
      <c r="AT11" s="82" t="s">
        <v>296</v>
      </c>
      <c r="AU11" s="83">
        <f t="shared" si="0"/>
        <v>-7.735221866666625E-2</v>
      </c>
      <c r="AV11" s="83">
        <f t="shared" si="1"/>
        <v>0.95925139599999976</v>
      </c>
      <c r="AX11" s="83">
        <f t="shared" si="2"/>
        <v>-0.1268239586420237</v>
      </c>
      <c r="AY11" s="83">
        <f t="shared" si="3"/>
        <v>3.5262782630154863</v>
      </c>
    </row>
    <row r="12" spans="1:69">
      <c r="A12" s="75">
        <v>6</v>
      </c>
      <c r="B12" s="123">
        <v>5.4</v>
      </c>
      <c r="C12" s="123">
        <v>3.9</v>
      </c>
      <c r="D12" s="123"/>
      <c r="E12" s="123">
        <v>1.7</v>
      </c>
      <c r="F12" s="123">
        <v>0.4</v>
      </c>
      <c r="H12" s="87">
        <v>5.7</v>
      </c>
      <c r="I12" s="87">
        <v>2.8</v>
      </c>
      <c r="K12" s="87">
        <v>4.5</v>
      </c>
      <c r="L12" s="87">
        <v>1.3</v>
      </c>
      <c r="N12" s="87">
        <v>7.6</v>
      </c>
      <c r="O12" s="87">
        <v>3</v>
      </c>
      <c r="Q12" s="87">
        <v>6.6</v>
      </c>
      <c r="R12" s="87">
        <v>2.1</v>
      </c>
      <c r="T12" s="130"/>
      <c r="U12" s="82" t="s">
        <v>296</v>
      </c>
      <c r="V12" s="83">
        <f t="shared" si="4"/>
        <v>-1.2720000000000002</v>
      </c>
      <c r="W12" s="83">
        <f t="shared" si="5"/>
        <v>0.33866666666666667</v>
      </c>
      <c r="X12" s="83"/>
      <c r="Y12" s="83">
        <f t="shared" si="6"/>
        <v>1.6179840000000005</v>
      </c>
      <c r="Z12" s="83">
        <f t="shared" si="7"/>
        <v>-0.43078400000000011</v>
      </c>
      <c r="AA12" s="83">
        <f t="shared" si="8"/>
        <v>0.11469511111111111</v>
      </c>
      <c r="AC12" s="83">
        <f t="shared" si="9"/>
        <v>-0.4280000000000006</v>
      </c>
      <c r="AD12" s="83">
        <f t="shared" si="10"/>
        <v>-8.0000000000000127E-2</v>
      </c>
      <c r="AE12" s="81"/>
      <c r="AF12" s="83">
        <f t="shared" si="11"/>
        <v>0.18318400000000051</v>
      </c>
      <c r="AG12" s="83">
        <f t="shared" si="12"/>
        <v>3.4240000000000104E-2</v>
      </c>
      <c r="AH12" s="83">
        <f t="shared" si="13"/>
        <v>6.4000000000000203E-3</v>
      </c>
      <c r="AJ12" s="103" t="s">
        <v>286</v>
      </c>
      <c r="AT12" s="82" t="s">
        <v>296</v>
      </c>
      <c r="AU12" s="83">
        <f t="shared" si="0"/>
        <v>-1.0132188186666669</v>
      </c>
      <c r="AV12" s="83">
        <f t="shared" si="1"/>
        <v>0.84027869600000005</v>
      </c>
      <c r="AX12" s="83">
        <f t="shared" si="2"/>
        <v>-1.6612376964602404</v>
      </c>
      <c r="AY12" s="83">
        <f t="shared" si="3"/>
        <v>3.0889259196655878</v>
      </c>
    </row>
    <row r="13" spans="1:69">
      <c r="A13" s="75">
        <v>7</v>
      </c>
      <c r="B13" s="123">
        <v>4.5999999999999996</v>
      </c>
      <c r="C13" s="123">
        <v>3.4</v>
      </c>
      <c r="D13" s="123"/>
      <c r="E13" s="123">
        <v>1.4</v>
      </c>
      <c r="F13" s="123">
        <v>0.3</v>
      </c>
      <c r="H13" s="87">
        <v>6.3</v>
      </c>
      <c r="I13" s="87">
        <v>3.3</v>
      </c>
      <c r="K13" s="87">
        <v>4.7</v>
      </c>
      <c r="L13" s="87">
        <v>1.6</v>
      </c>
      <c r="N13" s="87">
        <v>4.9000000000000004</v>
      </c>
      <c r="O13" s="87">
        <v>2.5</v>
      </c>
      <c r="Q13" s="87">
        <v>4.5</v>
      </c>
      <c r="R13" s="87">
        <v>1.7</v>
      </c>
      <c r="T13" s="130"/>
      <c r="U13" s="82" t="s">
        <v>296</v>
      </c>
      <c r="V13" s="83">
        <f t="shared" si="4"/>
        <v>-0.87199999999999989</v>
      </c>
      <c r="W13" s="83">
        <f t="shared" si="5"/>
        <v>0.33866666666666667</v>
      </c>
      <c r="X13" s="83"/>
      <c r="Y13" s="83">
        <f t="shared" si="6"/>
        <v>0.76038399999999984</v>
      </c>
      <c r="Z13" s="83">
        <f t="shared" si="7"/>
        <v>-0.29531733333333332</v>
      </c>
      <c r="AA13" s="83">
        <f t="shared" si="8"/>
        <v>0.11469511111111111</v>
      </c>
      <c r="AC13" s="83">
        <f t="shared" si="9"/>
        <v>-2.8000000000000247E-2</v>
      </c>
      <c r="AD13" s="83">
        <f t="shared" si="10"/>
        <v>-8.0000000000000127E-2</v>
      </c>
      <c r="AE13" s="81"/>
      <c r="AF13" s="83">
        <f t="shared" si="11"/>
        <v>7.8400000000001385E-4</v>
      </c>
      <c r="AG13" s="83">
        <f t="shared" si="12"/>
        <v>2.2400000000000232E-3</v>
      </c>
      <c r="AH13" s="83">
        <f t="shared" si="13"/>
        <v>6.4000000000000203E-3</v>
      </c>
      <c r="AT13" s="82" t="s">
        <v>296</v>
      </c>
      <c r="AU13" s="83">
        <f t="shared" si="0"/>
        <v>-0.64999201866666645</v>
      </c>
      <c r="AV13" s="83">
        <f t="shared" si="1"/>
        <v>0.67274829599999997</v>
      </c>
      <c r="AX13" s="83">
        <f t="shared" si="2"/>
        <v>-1.0657038972374131</v>
      </c>
      <c r="AY13" s="83">
        <f t="shared" si="3"/>
        <v>2.4730719210394652</v>
      </c>
      <c r="BG13" s="75" t="s">
        <v>113</v>
      </c>
      <c r="BH13" s="75" t="s">
        <v>121</v>
      </c>
      <c r="BI13" s="75" t="s">
        <v>122</v>
      </c>
    </row>
    <row r="14" spans="1:69">
      <c r="A14" s="75">
        <v>8</v>
      </c>
      <c r="B14" s="123">
        <v>5</v>
      </c>
      <c r="C14" s="123">
        <v>3.4</v>
      </c>
      <c r="D14" s="123"/>
      <c r="E14" s="123">
        <v>1.5</v>
      </c>
      <c r="F14" s="123">
        <v>0.2</v>
      </c>
      <c r="H14" s="87">
        <v>4.9000000000000004</v>
      </c>
      <c r="I14" s="87">
        <v>2.4</v>
      </c>
      <c r="K14" s="87">
        <v>3.3</v>
      </c>
      <c r="L14" s="87">
        <v>1</v>
      </c>
      <c r="N14" s="87">
        <v>7.3</v>
      </c>
      <c r="O14" s="87">
        <v>2.9</v>
      </c>
      <c r="Q14" s="87">
        <v>6.3</v>
      </c>
      <c r="R14" s="87">
        <v>1.8</v>
      </c>
      <c r="T14" s="130"/>
      <c r="U14" s="82" t="s">
        <v>296</v>
      </c>
      <c r="V14" s="83">
        <f t="shared" si="4"/>
        <v>-1.4719999999999995</v>
      </c>
      <c r="W14" s="83">
        <f t="shared" si="5"/>
        <v>-0.16133333333333333</v>
      </c>
      <c r="X14" s="83"/>
      <c r="Y14" s="83">
        <f t="shared" si="6"/>
        <v>2.1667839999999985</v>
      </c>
      <c r="Z14" s="83">
        <f t="shared" si="7"/>
        <v>0.23748266666666659</v>
      </c>
      <c r="AA14" s="83">
        <f t="shared" si="8"/>
        <v>2.6028444444444444E-2</v>
      </c>
      <c r="AC14" s="83">
        <f t="shared" si="9"/>
        <v>-0.62799999999999989</v>
      </c>
      <c r="AD14" s="83">
        <f t="shared" si="10"/>
        <v>-0.58000000000000007</v>
      </c>
      <c r="AE14" s="81"/>
      <c r="AF14" s="83">
        <f t="shared" si="11"/>
        <v>0.39438399999999985</v>
      </c>
      <c r="AG14" s="83">
        <f t="shared" si="12"/>
        <v>0.36424000000000001</v>
      </c>
      <c r="AH14" s="83">
        <f t="shared" si="13"/>
        <v>0.33640000000000009</v>
      </c>
      <c r="AK14" s="104" t="s">
        <v>472</v>
      </c>
      <c r="AL14" s="104" t="s">
        <v>473</v>
      </c>
      <c r="AT14" s="82" t="s">
        <v>296</v>
      </c>
      <c r="AU14" s="83">
        <f t="shared" si="0"/>
        <v>-1.4042452186666663</v>
      </c>
      <c r="AV14" s="83">
        <f t="shared" si="1"/>
        <v>0.47001039599999983</v>
      </c>
      <c r="AX14" s="83">
        <f t="shared" si="2"/>
        <v>-2.3023507354442154</v>
      </c>
      <c r="AY14" s="83">
        <f t="shared" si="3"/>
        <v>1.727792578376504</v>
      </c>
    </row>
    <row r="15" spans="1:69">
      <c r="A15" s="75">
        <v>9</v>
      </c>
      <c r="B15" s="123">
        <v>4.4000000000000004</v>
      </c>
      <c r="C15" s="123">
        <v>2.9</v>
      </c>
      <c r="D15" s="123"/>
      <c r="E15" s="123">
        <v>1.4</v>
      </c>
      <c r="F15" s="123">
        <v>0.2</v>
      </c>
      <c r="H15" s="87">
        <v>6.6</v>
      </c>
      <c r="I15" s="87">
        <v>2.9</v>
      </c>
      <c r="K15" s="87">
        <v>4.5999999999999996</v>
      </c>
      <c r="L15" s="87">
        <v>1.3</v>
      </c>
      <c r="N15" s="87">
        <v>6.7</v>
      </c>
      <c r="O15" s="87">
        <v>2.5</v>
      </c>
      <c r="Q15" s="87">
        <v>5.8</v>
      </c>
      <c r="R15" s="87">
        <v>1.8</v>
      </c>
      <c r="T15" s="130"/>
      <c r="U15" s="82" t="s">
        <v>296</v>
      </c>
      <c r="V15" s="83">
        <f t="shared" si="4"/>
        <v>-0.97199999999999953</v>
      </c>
      <c r="W15" s="83">
        <f t="shared" si="5"/>
        <v>3.8666666666666849E-2</v>
      </c>
      <c r="X15" s="83"/>
      <c r="Y15" s="83">
        <f t="shared" si="6"/>
        <v>0.94478399999999907</v>
      </c>
      <c r="Z15" s="83">
        <f t="shared" si="7"/>
        <v>-3.7584000000000159E-2</v>
      </c>
      <c r="AA15" s="83">
        <f t="shared" si="8"/>
        <v>1.4951111111111252E-3</v>
      </c>
      <c r="AC15" s="83">
        <f t="shared" si="9"/>
        <v>-0.12799999999999989</v>
      </c>
      <c r="AD15" s="83">
        <f t="shared" si="10"/>
        <v>-0.37999999999999995</v>
      </c>
      <c r="AE15" s="81"/>
      <c r="AF15" s="83">
        <f t="shared" si="11"/>
        <v>1.6383999999999972E-2</v>
      </c>
      <c r="AG15" s="83">
        <f t="shared" si="12"/>
        <v>4.8639999999999954E-2</v>
      </c>
      <c r="AH15" s="83">
        <f t="shared" si="13"/>
        <v>0.14439999999999997</v>
      </c>
      <c r="AJ15" s="106" t="s">
        <v>472</v>
      </c>
      <c r="AK15" s="83">
        <f>AF83</f>
        <v>0.3283666666666667</v>
      </c>
      <c r="AL15" s="83">
        <f>AG83</f>
        <v>0.11636111111111108</v>
      </c>
      <c r="AT15" s="82" t="s">
        <v>296</v>
      </c>
      <c r="AU15" s="83">
        <f t="shared" si="0"/>
        <v>-0.86644651866666611</v>
      </c>
      <c r="AV15" s="83">
        <f t="shared" si="1"/>
        <v>0.44221079599999996</v>
      </c>
      <c r="AX15" s="83">
        <f t="shared" si="2"/>
        <v>-1.4205950306666566</v>
      </c>
      <c r="AY15" s="83">
        <f t="shared" si="3"/>
        <v>1.6255992163347093</v>
      </c>
      <c r="BG15" s="83">
        <f>BH8*BH8</f>
        <v>0.93911827333205289</v>
      </c>
      <c r="BH15" s="83">
        <f>BH8*BI8</f>
        <v>-2.6136232897565703</v>
      </c>
      <c r="BI15" s="83">
        <f>BI8*BI8</f>
        <v>7.2738726257780373</v>
      </c>
    </row>
    <row r="16" spans="1:69">
      <c r="A16" s="75">
        <v>10</v>
      </c>
      <c r="B16" s="123">
        <v>4.9000000000000004</v>
      </c>
      <c r="C16" s="123">
        <v>3.1</v>
      </c>
      <c r="D16" s="123"/>
      <c r="E16" s="123">
        <v>1.5</v>
      </c>
      <c r="F16" s="123">
        <v>0.1</v>
      </c>
      <c r="H16" s="87">
        <v>5.2</v>
      </c>
      <c r="I16" s="87">
        <v>2.7</v>
      </c>
      <c r="K16" s="87">
        <v>3.9</v>
      </c>
      <c r="L16" s="87">
        <v>1.4</v>
      </c>
      <c r="N16" s="87">
        <v>7.2</v>
      </c>
      <c r="O16" s="87">
        <v>3.6</v>
      </c>
      <c r="Q16" s="87">
        <v>6.1</v>
      </c>
      <c r="R16" s="87">
        <v>2.5</v>
      </c>
      <c r="T16" s="130"/>
      <c r="U16" s="82" t="s">
        <v>296</v>
      </c>
      <c r="V16" s="83">
        <f t="shared" si="4"/>
        <v>-0.47199999999999953</v>
      </c>
      <c r="W16" s="83">
        <f t="shared" si="5"/>
        <v>0.63866666666666694</v>
      </c>
      <c r="X16" s="83"/>
      <c r="Y16" s="83">
        <f t="shared" si="6"/>
        <v>0.22278399999999957</v>
      </c>
      <c r="Z16" s="83">
        <f t="shared" si="7"/>
        <v>-0.30145066666666648</v>
      </c>
      <c r="AA16" s="83">
        <f t="shared" si="8"/>
        <v>0.40789511111111143</v>
      </c>
      <c r="AC16" s="83">
        <f t="shared" si="9"/>
        <v>0.37200000000000011</v>
      </c>
      <c r="AD16" s="83">
        <f t="shared" si="10"/>
        <v>0.22000000000000014</v>
      </c>
      <c r="AE16" s="81"/>
      <c r="AF16" s="83">
        <f t="shared" si="11"/>
        <v>0.13838400000000009</v>
      </c>
      <c r="AG16" s="83">
        <f t="shared" si="12"/>
        <v>8.1840000000000079E-2</v>
      </c>
      <c r="AH16" s="83">
        <f t="shared" si="13"/>
        <v>4.8400000000000061E-2</v>
      </c>
      <c r="AJ16" s="106" t="s">
        <v>473</v>
      </c>
      <c r="AK16" s="83">
        <f>AG83</f>
        <v>0.11636111111111108</v>
      </c>
      <c r="AL16" s="83">
        <f>AH83</f>
        <v>0.13022222222222218</v>
      </c>
      <c r="AT16" s="82" t="s">
        <v>296</v>
      </c>
      <c r="AU16" s="83">
        <f t="shared" si="0"/>
        <v>-0.16111741866666612</v>
      </c>
      <c r="AV16" s="83">
        <f t="shared" si="1"/>
        <v>0.77763799599999994</v>
      </c>
      <c r="AX16" s="83">
        <f t="shared" si="2"/>
        <v>-0.26416241439104843</v>
      </c>
      <c r="AY16" s="83">
        <f t="shared" si="3"/>
        <v>2.8586541267746295</v>
      </c>
      <c r="BG16" s="83">
        <f>BH9*BH9</f>
        <v>1.5626582188502848E-4</v>
      </c>
      <c r="BH16" s="83">
        <f>BH9*BI9</f>
        <v>-1.4601064203162595E-2</v>
      </c>
      <c r="BI16" s="83">
        <f>BI9*BI9</f>
        <v>1.3642847379750771</v>
      </c>
    </row>
    <row r="17" spans="1:61">
      <c r="A17" s="75">
        <v>11</v>
      </c>
      <c r="B17" s="123">
        <v>5.4</v>
      </c>
      <c r="C17" s="123">
        <v>3.7</v>
      </c>
      <c r="D17" s="123"/>
      <c r="E17" s="123">
        <v>1.5</v>
      </c>
      <c r="F17" s="123">
        <v>0.2</v>
      </c>
      <c r="G17" s="87"/>
      <c r="H17" s="123">
        <v>5</v>
      </c>
      <c r="I17" s="123">
        <v>2</v>
      </c>
      <c r="J17" s="87"/>
      <c r="K17" s="123">
        <v>3.5</v>
      </c>
      <c r="L17" s="123">
        <v>1</v>
      </c>
      <c r="N17" s="123">
        <v>6.5</v>
      </c>
      <c r="O17" s="123">
        <v>3.2</v>
      </c>
      <c r="P17" s="123"/>
      <c r="Q17" s="123">
        <v>5.0999999999999996</v>
      </c>
      <c r="R17" s="123">
        <v>2</v>
      </c>
      <c r="T17" s="130"/>
      <c r="U17" s="82" t="s">
        <v>296</v>
      </c>
      <c r="V17" s="83">
        <f t="shared" si="4"/>
        <v>-1.0720000000000001</v>
      </c>
      <c r="W17" s="83">
        <f t="shared" si="5"/>
        <v>0.33866666666666667</v>
      </c>
      <c r="X17" s="83"/>
      <c r="Y17" s="83">
        <f t="shared" si="6"/>
        <v>1.1491840000000002</v>
      </c>
      <c r="Z17" s="83">
        <f t="shared" si="7"/>
        <v>-0.36305066666666669</v>
      </c>
      <c r="AA17" s="83">
        <f t="shared" si="8"/>
        <v>0.11469511111111111</v>
      </c>
      <c r="AC17" s="83">
        <f t="shared" si="9"/>
        <v>-0.22800000000000042</v>
      </c>
      <c r="AD17" s="83">
        <f t="shared" si="10"/>
        <v>-8.0000000000000127E-2</v>
      </c>
      <c r="AE17" s="81"/>
      <c r="AF17" s="83">
        <f t="shared" si="11"/>
        <v>5.1984000000000197E-2</v>
      </c>
      <c r="AG17" s="83">
        <f t="shared" si="12"/>
        <v>1.8240000000000062E-2</v>
      </c>
      <c r="AH17" s="83">
        <f t="shared" si="13"/>
        <v>6.4000000000000203E-3</v>
      </c>
      <c r="AT17" s="82" t="s">
        <v>296</v>
      </c>
      <c r="AU17" s="83">
        <f t="shared" si="0"/>
        <v>-0.8316054186666666</v>
      </c>
      <c r="AV17" s="83">
        <f t="shared" si="1"/>
        <v>0.75651349599999995</v>
      </c>
      <c r="AX17" s="83">
        <f t="shared" si="2"/>
        <v>-1.3634707968488267</v>
      </c>
      <c r="AY17" s="83">
        <f t="shared" si="3"/>
        <v>2.7809989203525265</v>
      </c>
      <c r="BG17" s="83">
        <f>BH10*BH10</f>
        <v>0.91504628384494235</v>
      </c>
      <c r="BH17" s="83">
        <f>BH10*BI10</f>
        <v>-1.4625980210134435</v>
      </c>
      <c r="BI17" s="83">
        <f>BI10*BI10</f>
        <v>2.3377975615438209</v>
      </c>
    </row>
    <row r="18" spans="1:61">
      <c r="A18" s="75">
        <v>12</v>
      </c>
      <c r="B18" s="123">
        <v>4.8</v>
      </c>
      <c r="C18" s="123">
        <v>3.4</v>
      </c>
      <c r="D18" s="123"/>
      <c r="E18" s="123">
        <v>1.6</v>
      </c>
      <c r="F18" s="123">
        <v>0.2</v>
      </c>
      <c r="G18" s="87"/>
      <c r="H18" s="123">
        <v>5.9</v>
      </c>
      <c r="I18" s="123">
        <v>3</v>
      </c>
      <c r="J18" s="87"/>
      <c r="K18" s="123">
        <v>4.2</v>
      </c>
      <c r="L18" s="123">
        <v>1.5</v>
      </c>
      <c r="N18" s="123">
        <v>6.4</v>
      </c>
      <c r="O18" s="123">
        <v>2.7</v>
      </c>
      <c r="P18" s="123"/>
      <c r="Q18" s="123">
        <v>5.3</v>
      </c>
      <c r="R18" s="123">
        <v>1.9</v>
      </c>
      <c r="T18" s="130"/>
      <c r="U18" s="82" t="s">
        <v>296</v>
      </c>
      <c r="V18" s="83">
        <f t="shared" si="4"/>
        <v>-1.0720000000000001</v>
      </c>
      <c r="W18" s="83">
        <f t="shared" si="5"/>
        <v>-6.133333333333324E-2</v>
      </c>
      <c r="X18" s="83"/>
      <c r="Y18" s="83">
        <f t="shared" si="6"/>
        <v>1.1491840000000002</v>
      </c>
      <c r="Z18" s="83">
        <f t="shared" si="7"/>
        <v>6.5749333333333243E-2</v>
      </c>
      <c r="AA18" s="83">
        <f t="shared" si="8"/>
        <v>3.7617777777777662E-3</v>
      </c>
      <c r="AC18" s="83">
        <f t="shared" si="9"/>
        <v>-0.22800000000000042</v>
      </c>
      <c r="AD18" s="83">
        <f t="shared" si="10"/>
        <v>-0.48000000000000004</v>
      </c>
      <c r="AE18" s="81"/>
      <c r="AF18" s="83">
        <f t="shared" si="11"/>
        <v>5.1984000000000197E-2</v>
      </c>
      <c r="AG18" s="83">
        <f t="shared" si="12"/>
        <v>0.10944000000000022</v>
      </c>
      <c r="AH18" s="83">
        <f t="shared" si="13"/>
        <v>0.23040000000000005</v>
      </c>
      <c r="AT18" s="82" t="s">
        <v>296</v>
      </c>
      <c r="AU18" s="83">
        <f t="shared" si="0"/>
        <v>-0.99913581866666656</v>
      </c>
      <c r="AV18" s="83">
        <f t="shared" si="1"/>
        <v>0.3932866960000001</v>
      </c>
      <c r="AX18" s="83">
        <f t="shared" si="2"/>
        <v>-1.6381477083468765</v>
      </c>
      <c r="AY18" s="83">
        <f t="shared" si="3"/>
        <v>1.4457506478708115</v>
      </c>
    </row>
    <row r="19" spans="1:61">
      <c r="A19" s="75">
        <v>13</v>
      </c>
      <c r="B19" s="123">
        <v>4.8</v>
      </c>
      <c r="C19" s="123">
        <v>3</v>
      </c>
      <c r="D19" s="123"/>
      <c r="E19" s="123">
        <v>1.4</v>
      </c>
      <c r="F19" s="123">
        <v>0.1</v>
      </c>
      <c r="G19" s="87"/>
      <c r="H19" s="123">
        <v>6</v>
      </c>
      <c r="I19" s="123">
        <v>2.2000000000000002</v>
      </c>
      <c r="J19" s="87"/>
      <c r="K19" s="123">
        <v>4</v>
      </c>
      <c r="L19" s="123">
        <v>1</v>
      </c>
      <c r="N19" s="123">
        <v>6.8</v>
      </c>
      <c r="O19" s="123">
        <v>3</v>
      </c>
      <c r="P19" s="123"/>
      <c r="Q19" s="123">
        <v>5.5</v>
      </c>
      <c r="R19" s="123">
        <v>2.1</v>
      </c>
      <c r="T19" s="130"/>
      <c r="U19" s="82" t="s">
        <v>296</v>
      </c>
      <c r="V19" s="83">
        <f t="shared" si="4"/>
        <v>-1.5720000000000001</v>
      </c>
      <c r="W19" s="83">
        <f t="shared" si="5"/>
        <v>-6.133333333333324E-2</v>
      </c>
      <c r="X19" s="83"/>
      <c r="Y19" s="83">
        <f t="shared" si="6"/>
        <v>2.471184</v>
      </c>
      <c r="Z19" s="83">
        <f t="shared" si="7"/>
        <v>9.6415999999999863E-2</v>
      </c>
      <c r="AA19" s="83">
        <f t="shared" si="8"/>
        <v>3.7617777777777662E-3</v>
      </c>
      <c r="AC19" s="83">
        <f t="shared" si="9"/>
        <v>-0.72800000000000042</v>
      </c>
      <c r="AD19" s="83">
        <f t="shared" si="10"/>
        <v>-0.48000000000000004</v>
      </c>
      <c r="AE19" s="81"/>
      <c r="AF19" s="83">
        <f t="shared" si="11"/>
        <v>0.52998400000000057</v>
      </c>
      <c r="AG19" s="83">
        <f t="shared" si="12"/>
        <v>0.34944000000000025</v>
      </c>
      <c r="AH19" s="83">
        <f t="shared" si="13"/>
        <v>0.23040000000000005</v>
      </c>
      <c r="AJ19" s="75" t="s">
        <v>284</v>
      </c>
      <c r="AT19" s="82" t="s">
        <v>296</v>
      </c>
      <c r="AU19" s="83">
        <f t="shared" si="0"/>
        <v>-1.4531693186666665</v>
      </c>
      <c r="AV19" s="83">
        <f t="shared" si="1"/>
        <v>0.60269969600000006</v>
      </c>
      <c r="AX19" s="83">
        <f t="shared" si="2"/>
        <v>-2.38256495737541</v>
      </c>
      <c r="AY19" s="83">
        <f t="shared" si="3"/>
        <v>2.2155681461534642</v>
      </c>
    </row>
    <row r="20" spans="1:61">
      <c r="A20" s="75">
        <v>14</v>
      </c>
      <c r="B20" s="123">
        <v>4.3</v>
      </c>
      <c r="C20" s="123">
        <v>3</v>
      </c>
      <c r="D20" s="123"/>
      <c r="E20" s="123">
        <v>1.1000000000000001</v>
      </c>
      <c r="F20" s="123">
        <v>0.1</v>
      </c>
      <c r="G20" s="87"/>
      <c r="H20" s="123">
        <v>6.1</v>
      </c>
      <c r="I20" s="123">
        <v>2.9</v>
      </c>
      <c r="J20" s="87"/>
      <c r="K20" s="123">
        <v>4.7</v>
      </c>
      <c r="L20" s="123">
        <v>1.4</v>
      </c>
      <c r="N20" s="123">
        <v>5.7</v>
      </c>
      <c r="O20" s="123">
        <v>2.5</v>
      </c>
      <c r="P20" s="123"/>
      <c r="Q20" s="123">
        <v>5</v>
      </c>
      <c r="R20" s="123">
        <v>2</v>
      </c>
      <c r="T20" s="130"/>
      <c r="U20" s="82" t="s">
        <v>296</v>
      </c>
      <c r="V20" s="83">
        <f t="shared" si="4"/>
        <v>-7.2000000000000064E-2</v>
      </c>
      <c r="W20" s="83">
        <f t="shared" si="5"/>
        <v>0.93866666666666676</v>
      </c>
      <c r="X20" s="83"/>
      <c r="Y20" s="83">
        <f t="shared" si="6"/>
        <v>5.1840000000000089E-3</v>
      </c>
      <c r="Z20" s="83">
        <f t="shared" si="7"/>
        <v>-6.7584000000000061E-2</v>
      </c>
      <c r="AA20" s="83">
        <f t="shared" si="8"/>
        <v>0.88109511111111127</v>
      </c>
      <c r="AC20" s="83">
        <f t="shared" si="9"/>
        <v>0.77199999999999958</v>
      </c>
      <c r="AD20" s="83">
        <f t="shared" si="10"/>
        <v>0.52</v>
      </c>
      <c r="AE20" s="81"/>
      <c r="AF20" s="83">
        <f t="shared" si="11"/>
        <v>0.59598399999999929</v>
      </c>
      <c r="AG20" s="83">
        <f t="shared" si="12"/>
        <v>0.4014399999999998</v>
      </c>
      <c r="AH20" s="83">
        <f t="shared" si="13"/>
        <v>0.27040000000000003</v>
      </c>
      <c r="AT20" s="82" t="s">
        <v>296</v>
      </c>
      <c r="AU20" s="83">
        <f t="shared" si="0"/>
        <v>0.32775718133333331</v>
      </c>
      <c r="AV20" s="83">
        <f t="shared" si="1"/>
        <v>0.88252769600000003</v>
      </c>
      <c r="AX20" s="83">
        <f t="shared" si="2"/>
        <v>0.5373790684553148</v>
      </c>
      <c r="AY20" s="83">
        <f t="shared" si="3"/>
        <v>3.2442363325097943</v>
      </c>
      <c r="BG20" s="75" t="s">
        <v>118</v>
      </c>
    </row>
    <row r="21" spans="1:61">
      <c r="A21" s="75">
        <v>15</v>
      </c>
      <c r="B21" s="123">
        <v>5.8</v>
      </c>
      <c r="C21" s="123">
        <v>4</v>
      </c>
      <c r="D21" s="123"/>
      <c r="E21" s="123">
        <v>1.2</v>
      </c>
      <c r="F21" s="123">
        <v>0.2</v>
      </c>
      <c r="G21" s="87"/>
      <c r="H21" s="123">
        <v>5.6</v>
      </c>
      <c r="I21" s="123">
        <v>2.9</v>
      </c>
      <c r="J21" s="87"/>
      <c r="K21" s="123">
        <v>3.6</v>
      </c>
      <c r="L21" s="123">
        <v>1.3</v>
      </c>
      <c r="N21" s="123">
        <v>5.8</v>
      </c>
      <c r="O21" s="123">
        <v>2.8</v>
      </c>
      <c r="P21" s="123"/>
      <c r="Q21" s="123">
        <v>5.0999999999999996</v>
      </c>
      <c r="R21" s="123">
        <v>2.4</v>
      </c>
      <c r="T21" s="130"/>
      <c r="U21" s="82" t="s">
        <v>296</v>
      </c>
      <c r="V21" s="83">
        <f t="shared" si="4"/>
        <v>-0.17199999999999971</v>
      </c>
      <c r="W21" s="83">
        <f t="shared" si="5"/>
        <v>1.3386666666666671</v>
      </c>
      <c r="X21" s="83"/>
      <c r="Y21" s="83">
        <f t="shared" si="6"/>
        <v>2.9583999999999899E-2</v>
      </c>
      <c r="Z21" s="83">
        <f t="shared" si="7"/>
        <v>-0.23025066666666635</v>
      </c>
      <c r="AA21" s="83">
        <f t="shared" si="8"/>
        <v>1.7920284444444456</v>
      </c>
      <c r="AC21" s="83">
        <f t="shared" si="9"/>
        <v>0.67199999999999993</v>
      </c>
      <c r="AD21" s="83">
        <f t="shared" si="10"/>
        <v>0.92000000000000037</v>
      </c>
      <c r="AE21" s="81"/>
      <c r="AF21" s="83">
        <f t="shared" si="11"/>
        <v>0.45158399999999993</v>
      </c>
      <c r="AG21" s="83">
        <f t="shared" si="12"/>
        <v>0.61824000000000023</v>
      </c>
      <c r="AH21" s="83">
        <f t="shared" si="13"/>
        <v>0.84640000000000071</v>
      </c>
      <c r="AK21" s="104" t="s">
        <v>472</v>
      </c>
      <c r="AL21" s="104" t="s">
        <v>473</v>
      </c>
      <c r="AT21" s="82" t="s">
        <v>296</v>
      </c>
      <c r="AU21" s="83">
        <f t="shared" si="0"/>
        <v>0.40448088133333382</v>
      </c>
      <c r="AV21" s="83">
        <f t="shared" si="1"/>
        <v>1.2876370960000001</v>
      </c>
      <c r="AX21" s="83">
        <f t="shared" si="2"/>
        <v>0.66317253014765887</v>
      </c>
      <c r="AY21" s="83">
        <f t="shared" si="3"/>
        <v>4.7334481046480406</v>
      </c>
      <c r="BH21" s="104" t="s">
        <v>106</v>
      </c>
      <c r="BI21" s="104" t="s">
        <v>107</v>
      </c>
    </row>
    <row r="22" spans="1:61">
      <c r="A22" s="75">
        <v>16</v>
      </c>
      <c r="B22" s="123">
        <v>5.7</v>
      </c>
      <c r="C22" s="123">
        <v>4.4000000000000004</v>
      </c>
      <c r="D22" s="123"/>
      <c r="E22" s="123">
        <v>1.5</v>
      </c>
      <c r="F22" s="123">
        <v>0.4</v>
      </c>
      <c r="G22" s="87"/>
      <c r="H22" s="123">
        <v>6.7</v>
      </c>
      <c r="I22" s="123">
        <v>3.1</v>
      </c>
      <c r="J22" s="87"/>
      <c r="K22" s="123">
        <v>4.4000000000000004</v>
      </c>
      <c r="L22" s="123">
        <v>1.4</v>
      </c>
      <c r="N22" s="123">
        <v>6.4</v>
      </c>
      <c r="O22" s="123">
        <v>3.2</v>
      </c>
      <c r="P22" s="123"/>
      <c r="Q22" s="123">
        <v>5.3</v>
      </c>
      <c r="R22" s="123">
        <v>2.2999999999999998</v>
      </c>
      <c r="T22" s="130"/>
      <c r="U22" s="82" t="s">
        <v>296</v>
      </c>
      <c r="V22" s="83">
        <f t="shared" si="4"/>
        <v>-0.47199999999999953</v>
      </c>
      <c r="W22" s="83">
        <f t="shared" si="5"/>
        <v>0.83866666666666667</v>
      </c>
      <c r="X22" s="83"/>
      <c r="Y22" s="83">
        <f t="shared" si="6"/>
        <v>0.22278399999999957</v>
      </c>
      <c r="Z22" s="83">
        <f t="shared" si="7"/>
        <v>-0.3958506666666663</v>
      </c>
      <c r="AA22" s="83">
        <f t="shared" si="8"/>
        <v>0.70336177777777775</v>
      </c>
      <c r="AC22" s="83">
        <f t="shared" si="9"/>
        <v>0.37200000000000011</v>
      </c>
      <c r="AD22" s="83">
        <f t="shared" si="10"/>
        <v>0.41999999999999987</v>
      </c>
      <c r="AE22" s="81"/>
      <c r="AF22" s="83">
        <f t="shared" si="11"/>
        <v>0.13838400000000009</v>
      </c>
      <c r="AG22" s="83">
        <f t="shared" si="12"/>
        <v>0.15623999999999999</v>
      </c>
      <c r="AH22" s="83">
        <f t="shared" si="13"/>
        <v>0.17639999999999989</v>
      </c>
      <c r="AJ22" s="106" t="s">
        <v>472</v>
      </c>
      <c r="AK22" s="83">
        <f>AK8-AK15</f>
        <v>0.42623333333333335</v>
      </c>
      <c r="AL22" s="83">
        <f>AL8-AL15</f>
        <v>-0.1691555555555555</v>
      </c>
      <c r="AT22" s="82" t="s">
        <v>296</v>
      </c>
      <c r="AU22" s="83">
        <f t="shared" si="0"/>
        <v>-7.735221866666625E-2</v>
      </c>
      <c r="AV22" s="83">
        <f t="shared" si="1"/>
        <v>0.95925139599999976</v>
      </c>
      <c r="AX22" s="83">
        <f t="shared" si="2"/>
        <v>-0.1268239586420237</v>
      </c>
      <c r="AY22" s="83">
        <f t="shared" si="3"/>
        <v>3.5262782630154863</v>
      </c>
      <c r="BG22" s="106" t="s">
        <v>106</v>
      </c>
      <c r="BH22" s="83">
        <f>SUM(BG15:BG17)</f>
        <v>1.8543208229988801</v>
      </c>
      <c r="BI22" s="83">
        <f>SUM(BH15:BH17)</f>
        <v>-4.0908223749731762</v>
      </c>
    </row>
    <row r="23" spans="1:61">
      <c r="A23" s="75">
        <v>17</v>
      </c>
      <c r="B23" s="123">
        <v>5.4</v>
      </c>
      <c r="C23" s="123">
        <v>3.9</v>
      </c>
      <c r="D23" s="123"/>
      <c r="E23" s="123">
        <v>1.3</v>
      </c>
      <c r="F23" s="123">
        <v>0.4</v>
      </c>
      <c r="G23" s="87"/>
      <c r="H23" s="123">
        <v>5.6</v>
      </c>
      <c r="I23" s="123">
        <v>3</v>
      </c>
      <c r="J23" s="87"/>
      <c r="K23" s="123">
        <v>4.5</v>
      </c>
      <c r="L23" s="123">
        <v>1.5</v>
      </c>
      <c r="N23" s="123">
        <v>6.5</v>
      </c>
      <c r="O23" s="123">
        <v>3</v>
      </c>
      <c r="P23" s="123"/>
      <c r="Q23" s="123">
        <v>5.5</v>
      </c>
      <c r="R23" s="123">
        <v>1.8</v>
      </c>
      <c r="T23" s="130"/>
      <c r="U23" s="82" t="s">
        <v>296</v>
      </c>
      <c r="V23" s="83">
        <f t="shared" si="4"/>
        <v>-0.77200000000000024</v>
      </c>
      <c r="W23" s="83">
        <f t="shared" si="5"/>
        <v>0.43866666666666676</v>
      </c>
      <c r="X23" s="83"/>
      <c r="Y23" s="83">
        <f t="shared" si="6"/>
        <v>0.5959840000000004</v>
      </c>
      <c r="Z23" s="83">
        <f t="shared" si="7"/>
        <v>-0.33865066666666682</v>
      </c>
      <c r="AA23" s="83">
        <f t="shared" si="8"/>
        <v>0.19242844444444451</v>
      </c>
      <c r="AC23" s="83">
        <f t="shared" si="9"/>
        <v>7.1999999999999398E-2</v>
      </c>
      <c r="AD23" s="83">
        <f t="shared" si="10"/>
        <v>1.9999999999999962E-2</v>
      </c>
      <c r="AE23" s="81"/>
      <c r="AF23" s="83">
        <f t="shared" si="11"/>
        <v>5.1839999999999135E-3</v>
      </c>
      <c r="AG23" s="83">
        <f t="shared" si="12"/>
        <v>1.4399999999999853E-3</v>
      </c>
      <c r="AH23" s="83">
        <f t="shared" si="13"/>
        <v>3.999999999999985E-4</v>
      </c>
      <c r="AJ23" s="106" t="s">
        <v>473</v>
      </c>
      <c r="AK23" s="83">
        <f>AK9-AK16</f>
        <v>-0.1691555555555555</v>
      </c>
      <c r="AL23" s="83">
        <f>AL9-AL16</f>
        <v>9.5303703703703613E-2</v>
      </c>
      <c r="AT23" s="82" t="s">
        <v>296</v>
      </c>
      <c r="AU23" s="83">
        <f t="shared" si="0"/>
        <v>-0.51730271866666688</v>
      </c>
      <c r="AV23" s="83">
        <f t="shared" si="1"/>
        <v>0.72167239600000022</v>
      </c>
      <c r="AX23" s="83">
        <f t="shared" si="2"/>
        <v>-0.84815121955719464</v>
      </c>
      <c r="AY23" s="83">
        <f t="shared" si="3"/>
        <v>2.6529204895033645</v>
      </c>
      <c r="BG23" s="106" t="s">
        <v>107</v>
      </c>
      <c r="BH23" s="83">
        <f>SUM(BH15:BH17)</f>
        <v>-4.0908223749731762</v>
      </c>
      <c r="BI23" s="83">
        <f>SUM(BI15:BI17)</f>
        <v>10.975954925296936</v>
      </c>
    </row>
    <row r="24" spans="1:61">
      <c r="A24" s="75">
        <v>18</v>
      </c>
      <c r="B24" s="123">
        <v>5.0999999999999996</v>
      </c>
      <c r="C24" s="123">
        <v>3.5</v>
      </c>
      <c r="D24" s="123"/>
      <c r="E24" s="123">
        <v>1.4</v>
      </c>
      <c r="F24" s="123">
        <v>0.3</v>
      </c>
      <c r="G24" s="87"/>
      <c r="H24" s="123">
        <v>5.8</v>
      </c>
      <c r="I24" s="123">
        <v>2.7</v>
      </c>
      <c r="J24" s="87"/>
      <c r="K24" s="123">
        <v>4.0999999999999996</v>
      </c>
      <c r="L24" s="123">
        <v>1</v>
      </c>
      <c r="N24" s="123">
        <v>7.7</v>
      </c>
      <c r="O24" s="123">
        <v>3.8</v>
      </c>
      <c r="P24" s="123"/>
      <c r="Q24" s="123">
        <v>6.7</v>
      </c>
      <c r="R24" s="123">
        <v>2.2000000000000002</v>
      </c>
      <c r="T24" s="130"/>
      <c r="U24" s="82" t="s">
        <v>296</v>
      </c>
      <c r="V24" s="83">
        <f t="shared" si="4"/>
        <v>-0.17199999999999971</v>
      </c>
      <c r="W24" s="83">
        <f t="shared" si="5"/>
        <v>0.73866666666666658</v>
      </c>
      <c r="X24" s="83"/>
      <c r="Y24" s="83">
        <f t="shared" si="6"/>
        <v>2.9583999999999899E-2</v>
      </c>
      <c r="Z24" s="83">
        <f t="shared" si="7"/>
        <v>-0.12705066666666645</v>
      </c>
      <c r="AA24" s="83">
        <f t="shared" si="8"/>
        <v>0.54562844444444436</v>
      </c>
      <c r="AC24" s="83">
        <f t="shared" si="9"/>
        <v>0.67199999999999993</v>
      </c>
      <c r="AD24" s="83">
        <f t="shared" si="10"/>
        <v>0.31999999999999978</v>
      </c>
      <c r="AE24" s="81"/>
      <c r="AF24" s="83">
        <f t="shared" si="11"/>
        <v>0.45158399999999993</v>
      </c>
      <c r="AG24" s="83">
        <f t="shared" si="12"/>
        <v>0.21503999999999984</v>
      </c>
      <c r="AH24" s="83">
        <f t="shared" si="13"/>
        <v>0.10239999999999987</v>
      </c>
      <c r="AT24" s="82" t="s">
        <v>296</v>
      </c>
      <c r="AU24" s="83">
        <f t="shared" si="0"/>
        <v>0.15318528133333356</v>
      </c>
      <c r="AV24" s="83">
        <f t="shared" si="1"/>
        <v>0.74279689599999976</v>
      </c>
      <c r="AX24" s="83">
        <f t="shared" si="2"/>
        <v>0.2511571629005836</v>
      </c>
      <c r="AY24" s="83">
        <f t="shared" si="3"/>
        <v>2.7305756959254661</v>
      </c>
    </row>
    <row r="25" spans="1:61">
      <c r="A25" s="75">
        <v>19</v>
      </c>
      <c r="B25" s="123">
        <v>5.7</v>
      </c>
      <c r="C25" s="123">
        <v>3.8</v>
      </c>
      <c r="D25" s="123"/>
      <c r="E25" s="123">
        <v>1.7</v>
      </c>
      <c r="F25" s="123">
        <v>0.3</v>
      </c>
      <c r="G25" s="87"/>
      <c r="H25" s="123">
        <v>6.2</v>
      </c>
      <c r="I25" s="123">
        <v>2.2000000000000002</v>
      </c>
      <c r="J25" s="87"/>
      <c r="K25" s="123">
        <v>4.5</v>
      </c>
      <c r="L25" s="123">
        <v>1.5</v>
      </c>
      <c r="N25" s="123">
        <v>7.7</v>
      </c>
      <c r="O25" s="123">
        <v>2.6</v>
      </c>
      <c r="P25" s="123"/>
      <c r="Q25" s="123">
        <v>6.9</v>
      </c>
      <c r="R25" s="123">
        <v>2.2999999999999998</v>
      </c>
      <c r="T25" s="130"/>
      <c r="U25" s="82" t="s">
        <v>296</v>
      </c>
      <c r="V25" s="83">
        <f t="shared" si="4"/>
        <v>-0.77200000000000024</v>
      </c>
      <c r="W25" s="83">
        <f t="shared" si="5"/>
        <v>0.73866666666666658</v>
      </c>
      <c r="X25" s="83"/>
      <c r="Y25" s="83">
        <f t="shared" si="6"/>
        <v>0.5959840000000004</v>
      </c>
      <c r="Z25" s="83">
        <f t="shared" si="7"/>
        <v>-0.57025066666666679</v>
      </c>
      <c r="AA25" s="83">
        <f t="shared" si="8"/>
        <v>0.54562844444444436</v>
      </c>
      <c r="AC25" s="83">
        <f t="shared" si="9"/>
        <v>7.1999999999999398E-2</v>
      </c>
      <c r="AD25" s="83">
        <f t="shared" si="10"/>
        <v>0.31999999999999978</v>
      </c>
      <c r="AE25" s="81"/>
      <c r="AF25" s="83">
        <f t="shared" si="11"/>
        <v>5.1839999999999135E-3</v>
      </c>
      <c r="AG25" s="83">
        <f t="shared" si="12"/>
        <v>2.3039999999999793E-2</v>
      </c>
      <c r="AH25" s="83">
        <f t="shared" si="13"/>
        <v>0.10239999999999987</v>
      </c>
      <c r="AT25" s="82" t="s">
        <v>296</v>
      </c>
      <c r="AU25" s="83">
        <f t="shared" si="0"/>
        <v>-0.39165491866666696</v>
      </c>
      <c r="AV25" s="83">
        <f t="shared" si="1"/>
        <v>0.99409249599999994</v>
      </c>
      <c r="AX25" s="83">
        <f t="shared" si="2"/>
        <v>-0.64214353593365736</v>
      </c>
      <c r="AY25" s="83">
        <f t="shared" si="3"/>
        <v>3.6543566938646501</v>
      </c>
    </row>
    <row r="26" spans="1:61">
      <c r="A26" s="75">
        <v>20</v>
      </c>
      <c r="B26" s="123">
        <v>5.0999999999999996</v>
      </c>
      <c r="C26" s="123">
        <v>3.8</v>
      </c>
      <c r="D26" s="123"/>
      <c r="E26" s="123">
        <v>1.5</v>
      </c>
      <c r="F26" s="123">
        <v>0.3</v>
      </c>
      <c r="G26" s="87"/>
      <c r="H26" s="123">
        <v>5.6</v>
      </c>
      <c r="I26" s="123">
        <v>2.5</v>
      </c>
      <c r="J26" s="87"/>
      <c r="K26" s="123">
        <v>3.9</v>
      </c>
      <c r="L26" s="123">
        <v>1.1000000000000001</v>
      </c>
      <c r="N26" s="123">
        <v>6</v>
      </c>
      <c r="O26" s="123">
        <v>2.2000000000000002</v>
      </c>
      <c r="P26" s="123"/>
      <c r="Q26" s="123">
        <v>5</v>
      </c>
      <c r="R26" s="123">
        <v>1.5</v>
      </c>
      <c r="T26" s="130"/>
      <c r="U26" s="82" t="s">
        <v>296</v>
      </c>
      <c r="V26" s="83">
        <f t="shared" si="4"/>
        <v>-0.47199999999999953</v>
      </c>
      <c r="W26" s="83">
        <f t="shared" si="5"/>
        <v>0.33866666666666667</v>
      </c>
      <c r="X26" s="83"/>
      <c r="Y26" s="83">
        <f t="shared" si="6"/>
        <v>0.22278399999999957</v>
      </c>
      <c r="Z26" s="83">
        <f t="shared" si="7"/>
        <v>-0.1598506666666665</v>
      </c>
      <c r="AA26" s="83">
        <f t="shared" si="8"/>
        <v>0.11469511111111111</v>
      </c>
      <c r="AC26" s="83">
        <f t="shared" si="9"/>
        <v>0.37200000000000011</v>
      </c>
      <c r="AD26" s="83">
        <f t="shared" si="10"/>
        <v>-8.0000000000000127E-2</v>
      </c>
      <c r="AE26" s="81"/>
      <c r="AF26" s="83">
        <f t="shared" si="11"/>
        <v>0.13838400000000009</v>
      </c>
      <c r="AG26" s="83">
        <f t="shared" si="12"/>
        <v>-2.9760000000000057E-2</v>
      </c>
      <c r="AH26" s="83">
        <f t="shared" si="13"/>
        <v>6.4000000000000203E-3</v>
      </c>
      <c r="AJ26" s="103" t="s">
        <v>287</v>
      </c>
      <c r="AT26" s="82" t="s">
        <v>296</v>
      </c>
      <c r="AU26" s="83">
        <f t="shared" si="0"/>
        <v>-0.28676521866666627</v>
      </c>
      <c r="AV26" s="83">
        <f t="shared" si="1"/>
        <v>0.50521789599999978</v>
      </c>
      <c r="AX26" s="83">
        <f t="shared" si="2"/>
        <v>-0.47017009801458604</v>
      </c>
      <c r="AY26" s="83">
        <f t="shared" si="3"/>
        <v>1.8572179224133425</v>
      </c>
      <c r="BG26" s="103" t="s">
        <v>123</v>
      </c>
    </row>
    <row r="27" spans="1:61">
      <c r="A27" s="75">
        <v>21</v>
      </c>
      <c r="B27" s="123">
        <v>5.4</v>
      </c>
      <c r="C27" s="123">
        <v>3.4</v>
      </c>
      <c r="D27" s="123"/>
      <c r="E27" s="123">
        <v>1.7</v>
      </c>
      <c r="F27" s="123">
        <v>0.2</v>
      </c>
      <c r="G27" s="87"/>
      <c r="H27" s="123">
        <v>5.9</v>
      </c>
      <c r="I27" s="123">
        <v>3.2</v>
      </c>
      <c r="J27" s="87"/>
      <c r="K27" s="123">
        <v>4.8</v>
      </c>
      <c r="L27" s="123">
        <v>1.8</v>
      </c>
      <c r="N27" s="123">
        <v>6.9</v>
      </c>
      <c r="O27" s="123">
        <v>3.2</v>
      </c>
      <c r="P27" s="123"/>
      <c r="Q27" s="123">
        <v>5.7</v>
      </c>
      <c r="R27" s="123">
        <v>2.2999999999999998</v>
      </c>
      <c r="T27" s="130"/>
      <c r="U27" s="82" t="s">
        <v>296</v>
      </c>
      <c r="V27" s="83">
        <f t="shared" si="4"/>
        <v>-0.77200000000000024</v>
      </c>
      <c r="W27" s="83">
        <f t="shared" si="5"/>
        <v>0.63866666666666694</v>
      </c>
      <c r="X27" s="83"/>
      <c r="Y27" s="83">
        <f t="shared" si="6"/>
        <v>0.5959840000000004</v>
      </c>
      <c r="Z27" s="83">
        <f t="shared" si="7"/>
        <v>-0.49305066666666703</v>
      </c>
      <c r="AA27" s="83">
        <f t="shared" si="8"/>
        <v>0.40789511111111143</v>
      </c>
      <c r="AC27" s="83">
        <f t="shared" si="9"/>
        <v>7.1999999999999398E-2</v>
      </c>
      <c r="AD27" s="83">
        <f t="shared" si="10"/>
        <v>0.22000000000000014</v>
      </c>
      <c r="AE27" s="81"/>
      <c r="AF27" s="83">
        <f t="shared" si="11"/>
        <v>5.1839999999999135E-3</v>
      </c>
      <c r="AG27" s="83">
        <f t="shared" si="12"/>
        <v>1.5839999999999878E-2</v>
      </c>
      <c r="AH27" s="83">
        <f t="shared" si="13"/>
        <v>4.8400000000000061E-2</v>
      </c>
      <c r="AT27" s="82" t="s">
        <v>296</v>
      </c>
      <c r="AU27" s="83">
        <f t="shared" si="0"/>
        <v>-0.43353751866666679</v>
      </c>
      <c r="AV27" s="83">
        <f t="shared" si="1"/>
        <v>0.90328579600000025</v>
      </c>
      <c r="AX27" s="83">
        <f t="shared" si="2"/>
        <v>-0.7108127638081696</v>
      </c>
      <c r="AY27" s="83">
        <f t="shared" si="3"/>
        <v>3.3205446257442222</v>
      </c>
    </row>
    <row r="28" spans="1:61">
      <c r="A28" s="75">
        <v>22</v>
      </c>
      <c r="B28" s="123">
        <v>5.0999999999999996</v>
      </c>
      <c r="C28" s="123">
        <v>3.7</v>
      </c>
      <c r="D28" s="123"/>
      <c r="E28" s="123">
        <v>1.5</v>
      </c>
      <c r="F28" s="123">
        <v>0.4</v>
      </c>
      <c r="G28" s="87"/>
      <c r="H28" s="123">
        <v>6.1</v>
      </c>
      <c r="I28" s="123">
        <v>2.8</v>
      </c>
      <c r="J28" s="87"/>
      <c r="K28" s="123">
        <v>4</v>
      </c>
      <c r="L28" s="123">
        <v>1.3</v>
      </c>
      <c r="N28" s="123">
        <v>5.6</v>
      </c>
      <c r="O28" s="123">
        <v>2.8</v>
      </c>
      <c r="P28" s="123"/>
      <c r="Q28" s="123">
        <v>4.9000000000000004</v>
      </c>
      <c r="R28" s="123">
        <v>2</v>
      </c>
      <c r="T28" s="130"/>
      <c r="U28" s="82" t="s">
        <v>296</v>
      </c>
      <c r="V28" s="83">
        <f t="shared" si="4"/>
        <v>-1.2720000000000002</v>
      </c>
      <c r="W28" s="83">
        <f t="shared" si="5"/>
        <v>0.53866666666666685</v>
      </c>
      <c r="X28" s="83"/>
      <c r="Y28" s="83">
        <f t="shared" si="6"/>
        <v>1.6179840000000005</v>
      </c>
      <c r="Z28" s="83">
        <f t="shared" si="7"/>
        <v>-0.68518400000000035</v>
      </c>
      <c r="AA28" s="83">
        <f t="shared" si="8"/>
        <v>0.29016177777777796</v>
      </c>
      <c r="AC28" s="83">
        <f t="shared" si="9"/>
        <v>-0.4280000000000006</v>
      </c>
      <c r="AD28" s="83">
        <f t="shared" si="10"/>
        <v>0.12000000000000005</v>
      </c>
      <c r="AE28" s="81"/>
      <c r="AF28" s="83">
        <f t="shared" si="11"/>
        <v>0.18318400000000051</v>
      </c>
      <c r="AG28" s="83">
        <f t="shared" si="12"/>
        <v>-5.1360000000000093E-2</v>
      </c>
      <c r="AH28" s="83">
        <f t="shared" si="13"/>
        <v>1.4400000000000012E-2</v>
      </c>
      <c r="AJ28" s="75" t="s">
        <v>328</v>
      </c>
      <c r="AT28" s="82" t="s">
        <v>296</v>
      </c>
      <c r="AU28" s="83">
        <f t="shared" si="0"/>
        <v>-0.92945361866666687</v>
      </c>
      <c r="AV28" s="83">
        <f t="shared" si="1"/>
        <v>1.0218920960000002</v>
      </c>
      <c r="AX28" s="83">
        <f t="shared" si="2"/>
        <v>-1.5238992407112155</v>
      </c>
      <c r="AY28" s="83">
        <f t="shared" si="3"/>
        <v>3.756550055906446</v>
      </c>
      <c r="BG28" s="75" t="s">
        <v>328</v>
      </c>
    </row>
    <row r="29" spans="1:61">
      <c r="A29" s="75">
        <v>23</v>
      </c>
      <c r="B29" s="123">
        <v>4.5999999999999996</v>
      </c>
      <c r="C29" s="123">
        <v>3.6</v>
      </c>
      <c r="D29" s="123"/>
      <c r="E29" s="123">
        <v>1</v>
      </c>
      <c r="F29" s="123">
        <v>0.2</v>
      </c>
      <c r="G29" s="87"/>
      <c r="H29" s="123">
        <v>6.3</v>
      </c>
      <c r="I29" s="123">
        <v>2.5</v>
      </c>
      <c r="J29" s="87"/>
      <c r="K29" s="123">
        <v>4.9000000000000004</v>
      </c>
      <c r="L29" s="123">
        <v>1.5</v>
      </c>
      <c r="N29" s="123">
        <v>7.7</v>
      </c>
      <c r="O29" s="123">
        <v>2.8</v>
      </c>
      <c r="P29" s="123"/>
      <c r="Q29" s="123">
        <v>6.7</v>
      </c>
      <c r="R29" s="123">
        <v>2</v>
      </c>
      <c r="T29" s="130"/>
      <c r="U29" s="82" t="s">
        <v>296</v>
      </c>
      <c r="V29" s="83">
        <f t="shared" si="4"/>
        <v>-0.77200000000000024</v>
      </c>
      <c r="W29" s="83">
        <f t="shared" si="5"/>
        <v>0.23866666666666658</v>
      </c>
      <c r="X29" s="83"/>
      <c r="Y29" s="83">
        <f t="shared" si="6"/>
        <v>0.5959840000000004</v>
      </c>
      <c r="Z29" s="83">
        <f t="shared" si="7"/>
        <v>-0.18425066666666665</v>
      </c>
      <c r="AA29" s="83">
        <f t="shared" si="8"/>
        <v>5.6961777777777736E-2</v>
      </c>
      <c r="AC29" s="83">
        <f t="shared" si="9"/>
        <v>7.1999999999999398E-2</v>
      </c>
      <c r="AD29" s="83">
        <f t="shared" si="10"/>
        <v>-0.18000000000000022</v>
      </c>
      <c r="AE29" s="81"/>
      <c r="AF29" s="83">
        <f t="shared" si="11"/>
        <v>5.1839999999999135E-3</v>
      </c>
      <c r="AG29" s="83">
        <f t="shared" si="12"/>
        <v>-1.2959999999999907E-2</v>
      </c>
      <c r="AH29" s="83">
        <f t="shared" si="13"/>
        <v>3.2400000000000075E-2</v>
      </c>
      <c r="AK29" s="104" t="s">
        <v>291</v>
      </c>
      <c r="AL29" s="104" t="s">
        <v>292</v>
      </c>
      <c r="AT29" s="82" t="s">
        <v>296</v>
      </c>
      <c r="AU29" s="83">
        <f t="shared" si="0"/>
        <v>-0.60106791866666698</v>
      </c>
      <c r="AV29" s="83">
        <f t="shared" si="1"/>
        <v>0.54005899599999996</v>
      </c>
      <c r="AX29" s="83">
        <f t="shared" si="2"/>
        <v>-0.98548967530621978</v>
      </c>
      <c r="AY29" s="83">
        <f t="shared" si="3"/>
        <v>1.9852963532625059</v>
      </c>
      <c r="BH29" s="104" t="s">
        <v>291</v>
      </c>
      <c r="BI29" s="104" t="s">
        <v>292</v>
      </c>
    </row>
    <row r="30" spans="1:61">
      <c r="A30" s="75">
        <v>24</v>
      </c>
      <c r="B30" s="123">
        <v>5.0999999999999996</v>
      </c>
      <c r="C30" s="123">
        <v>3.3</v>
      </c>
      <c r="D30" s="123"/>
      <c r="E30" s="123">
        <v>1.7</v>
      </c>
      <c r="F30" s="123">
        <v>0.5</v>
      </c>
      <c r="G30" s="87"/>
      <c r="H30" s="123">
        <v>6.1</v>
      </c>
      <c r="I30" s="123">
        <v>2.8</v>
      </c>
      <c r="J30" s="87"/>
      <c r="K30" s="123">
        <v>4.7</v>
      </c>
      <c r="L30" s="123">
        <v>1.2</v>
      </c>
      <c r="N30" s="123">
        <v>6.3</v>
      </c>
      <c r="O30" s="123">
        <v>2.7</v>
      </c>
      <c r="P30" s="123"/>
      <c r="Q30" s="123">
        <v>4.9000000000000004</v>
      </c>
      <c r="R30" s="123">
        <v>1.8</v>
      </c>
      <c r="T30" s="130"/>
      <c r="U30" s="82" t="s">
        <v>296</v>
      </c>
      <c r="V30" s="83">
        <f t="shared" si="4"/>
        <v>-1.0720000000000001</v>
      </c>
      <c r="W30" s="83">
        <f t="shared" si="5"/>
        <v>0.33866666666666667</v>
      </c>
      <c r="X30" s="83"/>
      <c r="Y30" s="83">
        <f t="shared" si="6"/>
        <v>1.1491840000000002</v>
      </c>
      <c r="Z30" s="83">
        <f t="shared" si="7"/>
        <v>-0.36305066666666669</v>
      </c>
      <c r="AA30" s="83">
        <f t="shared" si="8"/>
        <v>0.11469511111111111</v>
      </c>
      <c r="AC30" s="83">
        <f t="shared" si="9"/>
        <v>-0.22800000000000042</v>
      </c>
      <c r="AD30" s="83">
        <f t="shared" si="10"/>
        <v>-8.0000000000000127E-2</v>
      </c>
      <c r="AE30" s="81"/>
      <c r="AF30" s="83">
        <f t="shared" si="11"/>
        <v>5.1984000000000197E-2</v>
      </c>
      <c r="AG30" s="83">
        <f t="shared" si="12"/>
        <v>1.8240000000000062E-2</v>
      </c>
      <c r="AH30" s="83">
        <f t="shared" si="13"/>
        <v>6.4000000000000203E-3</v>
      </c>
      <c r="AJ30" s="106" t="s">
        <v>472</v>
      </c>
      <c r="AK30" s="83">
        <v>0.90806699999999996</v>
      </c>
      <c r="AL30" s="83">
        <v>-0.41882599999999998</v>
      </c>
      <c r="AT30" s="82" t="s">
        <v>296</v>
      </c>
      <c r="AU30" s="83">
        <f t="shared" si="0"/>
        <v>-0.8316054186666666</v>
      </c>
      <c r="AV30" s="83">
        <f t="shared" si="1"/>
        <v>0.75651349599999995</v>
      </c>
      <c r="AX30" s="83">
        <f t="shared" si="2"/>
        <v>-1.3634707968488267</v>
      </c>
      <c r="AY30" s="83">
        <f t="shared" si="3"/>
        <v>2.7809989203525265</v>
      </c>
      <c r="BG30" s="106" t="s">
        <v>472</v>
      </c>
      <c r="BH30" s="83">
        <v>0.35747600000000002</v>
      </c>
      <c r="BI30" s="83">
        <v>-0.93392200000000003</v>
      </c>
    </row>
    <row r="31" spans="1:61">
      <c r="A31" s="75">
        <v>25</v>
      </c>
      <c r="B31" s="123">
        <v>4.8</v>
      </c>
      <c r="C31" s="123">
        <v>3.4</v>
      </c>
      <c r="D31" s="123"/>
      <c r="E31" s="123">
        <v>1.9</v>
      </c>
      <c r="F31" s="123">
        <v>0.2</v>
      </c>
      <c r="G31" s="87"/>
      <c r="H31" s="123">
        <v>6.4</v>
      </c>
      <c r="I31" s="123">
        <v>2.9</v>
      </c>
      <c r="J31" s="87"/>
      <c r="K31" s="123">
        <v>4.3</v>
      </c>
      <c r="L31" s="123">
        <v>1.3</v>
      </c>
      <c r="N31" s="123">
        <v>6.7</v>
      </c>
      <c r="O31" s="123">
        <v>3.3</v>
      </c>
      <c r="P31" s="123"/>
      <c r="Q31" s="123">
        <v>5.7</v>
      </c>
      <c r="R31" s="123">
        <v>2.1</v>
      </c>
      <c r="T31" s="130"/>
      <c r="U31" s="82" t="s">
        <v>297</v>
      </c>
      <c r="V31" s="83">
        <f>H50</f>
        <v>1.1280000000000001</v>
      </c>
      <c r="W31" s="83">
        <f>I50</f>
        <v>0.13866666666666694</v>
      </c>
      <c r="X31" s="83"/>
      <c r="Y31" s="83">
        <f t="shared" si="6"/>
        <v>1.2723840000000002</v>
      </c>
      <c r="Z31" s="83">
        <f t="shared" si="7"/>
        <v>0.15641600000000033</v>
      </c>
      <c r="AA31" s="83">
        <f t="shared" si="8"/>
        <v>1.922844444444452E-2</v>
      </c>
      <c r="AC31" s="83">
        <f>V31-$H$81</f>
        <v>0.98799999999999999</v>
      </c>
      <c r="AD31" s="83">
        <f>W31-$I$81</f>
        <v>0.4240000000000001</v>
      </c>
      <c r="AE31" s="81"/>
      <c r="AF31" s="83">
        <f t="shared" si="11"/>
        <v>0.97614400000000001</v>
      </c>
      <c r="AG31" s="83">
        <f t="shared" si="12"/>
        <v>0.41891200000000012</v>
      </c>
      <c r="AH31" s="83">
        <f t="shared" si="13"/>
        <v>0.17977600000000007</v>
      </c>
      <c r="AJ31" s="106" t="s">
        <v>473</v>
      </c>
      <c r="AK31" s="83">
        <v>0.41882599999999998</v>
      </c>
      <c r="AL31" s="83">
        <v>0.90806699999999996</v>
      </c>
      <c r="AT31" s="82" t="s">
        <v>297</v>
      </c>
      <c r="AU31" s="83">
        <f t="shared" si="0"/>
        <v>1.0823767813333334</v>
      </c>
      <c r="AV31" s="83">
        <f t="shared" si="1"/>
        <v>-0.3465171039999998</v>
      </c>
      <c r="AX31" s="83">
        <f t="shared" si="2"/>
        <v>1.7746266431276956</v>
      </c>
      <c r="AY31" s="83">
        <f t="shared" si="3"/>
        <v>-1.2738222083320025</v>
      </c>
      <c r="BG31" s="106" t="s">
        <v>473</v>
      </c>
      <c r="BH31" s="83">
        <v>-0.93392200000000003</v>
      </c>
      <c r="BI31" s="83">
        <v>-0.35747600000000002</v>
      </c>
    </row>
    <row r="32" spans="1:61">
      <c r="B32" s="123"/>
      <c r="C32" s="123"/>
      <c r="D32" s="123"/>
      <c r="E32" s="123"/>
      <c r="F32" s="123"/>
      <c r="H32" s="87"/>
      <c r="I32" s="87"/>
      <c r="K32" s="87"/>
      <c r="L32" s="87"/>
      <c r="N32" s="87"/>
      <c r="O32" s="87"/>
      <c r="Q32" s="87"/>
      <c r="R32" s="87"/>
      <c r="T32" s="130"/>
      <c r="U32" s="82" t="s">
        <v>297</v>
      </c>
      <c r="V32" s="83">
        <f t="shared" ref="V32:V55" si="14">H51</f>
        <v>0.52800000000000047</v>
      </c>
      <c r="W32" s="83">
        <f t="shared" ref="W32:W55" si="15">I51</f>
        <v>0.13866666666666694</v>
      </c>
      <c r="X32" s="83"/>
      <c r="Y32" s="83">
        <f t="shared" si="6"/>
        <v>0.27878400000000048</v>
      </c>
      <c r="Z32" s="83">
        <f t="shared" si="7"/>
        <v>7.3216000000000211E-2</v>
      </c>
      <c r="AA32" s="83">
        <f t="shared" si="8"/>
        <v>1.922844444444452E-2</v>
      </c>
      <c r="AC32" s="83">
        <f>V32-$H$81</f>
        <v>0.38800000000000034</v>
      </c>
      <c r="AD32" s="83">
        <f t="shared" ref="AD32:AD55" si="16">W32-$I$81</f>
        <v>0.4240000000000001</v>
      </c>
      <c r="AE32" s="81"/>
      <c r="AF32" s="83">
        <f t="shared" si="11"/>
        <v>0.15054400000000026</v>
      </c>
      <c r="AG32" s="83">
        <f t="shared" si="12"/>
        <v>0.16451200000000019</v>
      </c>
      <c r="AH32" s="83">
        <f t="shared" si="13"/>
        <v>0.17977600000000007</v>
      </c>
      <c r="AJ32" s="106"/>
      <c r="AT32" s="82" t="s">
        <v>297</v>
      </c>
      <c r="AU32" s="83">
        <f t="shared" si="0"/>
        <v>0.53753658133333382</v>
      </c>
      <c r="AV32" s="83">
        <f t="shared" si="1"/>
        <v>-9.5221503999999957E-2</v>
      </c>
      <c r="AX32" s="83">
        <f t="shared" si="2"/>
        <v>0.88132594429345612</v>
      </c>
      <c r="AY32" s="83">
        <f t="shared" si="3"/>
        <v>-0.35004121039281982</v>
      </c>
      <c r="BG32" s="106"/>
    </row>
    <row r="33" spans="1:72">
      <c r="A33" s="6" t="s">
        <v>185</v>
      </c>
      <c r="B33" s="123">
        <f>SUM(B7:B31)</f>
        <v>125.69999999999997</v>
      </c>
      <c r="C33" s="123">
        <f>SUM(C7:C31)</f>
        <v>87</v>
      </c>
      <c r="D33" s="123"/>
      <c r="E33" s="123">
        <f>SUM(E7:E31)</f>
        <v>36.5</v>
      </c>
      <c r="F33" s="123">
        <f>SUM(F7:F31)</f>
        <v>6.2000000000000011</v>
      </c>
      <c r="G33" s="87"/>
      <c r="H33" s="123">
        <f>SUM(H7:H31)</f>
        <v>150.30000000000001</v>
      </c>
      <c r="I33" s="123">
        <f>SUM(I7:I31)</f>
        <v>69.40000000000002</v>
      </c>
      <c r="J33" s="123"/>
      <c r="K33" s="123">
        <f>SUM(K7:K31)</f>
        <v>107.80000000000001</v>
      </c>
      <c r="L33" s="123">
        <f>SUM(L7:L31)</f>
        <v>33.6</v>
      </c>
      <c r="M33" s="87"/>
      <c r="N33" s="123">
        <f>SUM(N7:N31)</f>
        <v>164.4</v>
      </c>
      <c r="O33" s="123">
        <f>SUM(O7:O31)</f>
        <v>73.2</v>
      </c>
      <c r="P33" s="123"/>
      <c r="Q33" s="123">
        <f>SUM(Q7:Q31)</f>
        <v>141</v>
      </c>
      <c r="R33" s="123">
        <f>SUM(R7:R31)</f>
        <v>51.099999999999987</v>
      </c>
      <c r="T33" s="130"/>
      <c r="U33" s="82" t="s">
        <v>297</v>
      </c>
      <c r="V33" s="83">
        <f t="shared" si="14"/>
        <v>1.0280000000000005</v>
      </c>
      <c r="W33" s="83">
        <f t="shared" si="15"/>
        <v>3.8666666666666849E-2</v>
      </c>
      <c r="X33" s="83"/>
      <c r="Y33" s="83">
        <f t="shared" si="6"/>
        <v>1.0567840000000011</v>
      </c>
      <c r="Z33" s="83">
        <f t="shared" si="7"/>
        <v>3.9749333333333539E-2</v>
      </c>
      <c r="AA33" s="83">
        <f t="shared" si="8"/>
        <v>1.4951111111111252E-3</v>
      </c>
      <c r="AC33" s="83">
        <f t="shared" ref="AC33:AC55" si="17">V33-$H$81</f>
        <v>0.88800000000000034</v>
      </c>
      <c r="AD33" s="83">
        <f t="shared" si="16"/>
        <v>0.32400000000000001</v>
      </c>
      <c r="AE33" s="81"/>
      <c r="AF33" s="83">
        <f t="shared" si="11"/>
        <v>0.78854400000000058</v>
      </c>
      <c r="AG33" s="83">
        <f t="shared" si="12"/>
        <v>0.28771200000000013</v>
      </c>
      <c r="AH33" s="83">
        <f t="shared" si="13"/>
        <v>0.104976</v>
      </c>
      <c r="AJ33" s="106" t="s">
        <v>323</v>
      </c>
      <c r="AK33" s="83">
        <v>0.372</v>
      </c>
      <c r="AL33" s="83">
        <v>7.3999999999999996E-2</v>
      </c>
      <c r="AT33" s="82" t="s">
        <v>297</v>
      </c>
      <c r="AU33" s="83">
        <f t="shared" si="0"/>
        <v>0.94968748133333381</v>
      </c>
      <c r="AV33" s="83">
        <f t="shared" si="1"/>
        <v>-0.39544120399999999</v>
      </c>
      <c r="AX33" s="83">
        <f t="shared" si="2"/>
        <v>1.557073965447477</v>
      </c>
      <c r="AY33" s="83">
        <f t="shared" si="3"/>
        <v>-1.4536707767959016</v>
      </c>
      <c r="BG33" s="106" t="s">
        <v>323</v>
      </c>
      <c r="BH33" s="83">
        <v>12.5419</v>
      </c>
      <c r="BI33" s="83">
        <v>0.28809200000000001</v>
      </c>
      <c r="BJ33" s="86"/>
    </row>
    <row r="34" spans="1:72">
      <c r="A34" s="75" t="s">
        <v>155</v>
      </c>
      <c r="B34" s="75">
        <f>COUNT(B7:B31)</f>
        <v>25</v>
      </c>
      <c r="C34" s="75">
        <f>COUNT(C7:C31)</f>
        <v>25</v>
      </c>
      <c r="E34" s="75">
        <f>COUNT(E7:E31)</f>
        <v>25</v>
      </c>
      <c r="F34" s="75">
        <f>COUNT(F7:F31)</f>
        <v>25</v>
      </c>
      <c r="H34" s="75">
        <f>COUNT(H7:H31)</f>
        <v>25</v>
      </c>
      <c r="I34" s="75">
        <f>COUNT(I7:I31)</f>
        <v>25</v>
      </c>
      <c r="K34" s="75">
        <f>COUNT(K7:K31)</f>
        <v>25</v>
      </c>
      <c r="L34" s="75">
        <f>COUNT(L7:L31)</f>
        <v>25</v>
      </c>
      <c r="N34" s="75">
        <f>COUNT(N7:N31)</f>
        <v>25</v>
      </c>
      <c r="O34" s="75">
        <f>COUNT(O7:O31)</f>
        <v>25</v>
      </c>
      <c r="Q34" s="75">
        <f>COUNT(Q7:Q31)</f>
        <v>25</v>
      </c>
      <c r="R34" s="75">
        <f>COUNT(R7:R31)</f>
        <v>25</v>
      </c>
      <c r="T34" s="130"/>
      <c r="U34" s="82" t="s">
        <v>297</v>
      </c>
      <c r="V34" s="83">
        <f t="shared" si="14"/>
        <v>-0.37199999999999989</v>
      </c>
      <c r="W34" s="83">
        <f t="shared" si="15"/>
        <v>-0.76133333333333342</v>
      </c>
      <c r="X34" s="83"/>
      <c r="Y34" s="83">
        <f t="shared" si="6"/>
        <v>0.13838399999999992</v>
      </c>
      <c r="Z34" s="83">
        <f t="shared" si="7"/>
        <v>0.28321599999999997</v>
      </c>
      <c r="AA34" s="83">
        <f t="shared" si="8"/>
        <v>0.57962844444444461</v>
      </c>
      <c r="AC34" s="83">
        <f t="shared" si="17"/>
        <v>-0.51200000000000001</v>
      </c>
      <c r="AD34" s="83">
        <f t="shared" si="16"/>
        <v>-0.47600000000000026</v>
      </c>
      <c r="AE34" s="81"/>
      <c r="AF34" s="83">
        <f t="shared" si="11"/>
        <v>0.26214399999999999</v>
      </c>
      <c r="AG34" s="83">
        <f t="shared" si="12"/>
        <v>0.24371200000000012</v>
      </c>
      <c r="AH34" s="83">
        <f t="shared" si="13"/>
        <v>0.22657600000000025</v>
      </c>
      <c r="AJ34" s="106" t="s">
        <v>288</v>
      </c>
      <c r="AK34" s="83">
        <f>(AK33/SUM($AK$33,$AL$33))*100</f>
        <v>83.408071748878925</v>
      </c>
      <c r="AL34" s="83">
        <f>(AL33/SUM($AK$33,$AL$33))*100</f>
        <v>16.591928251121075</v>
      </c>
      <c r="AT34" s="82" t="s">
        <v>297</v>
      </c>
      <c r="AU34" s="83">
        <f t="shared" si="0"/>
        <v>-0.6566671186666666</v>
      </c>
      <c r="AV34" s="83">
        <f t="shared" si="1"/>
        <v>-0.53553840400000019</v>
      </c>
      <c r="AX34" s="83">
        <f t="shared" si="2"/>
        <v>-1.0766481548285169</v>
      </c>
      <c r="AY34" s="83">
        <f t="shared" si="3"/>
        <v>-1.9686783265679053</v>
      </c>
      <c r="BG34" s="106" t="s">
        <v>288</v>
      </c>
      <c r="BH34" s="83">
        <f>(BH33/SUM($BH$33,$BI$33))*100</f>
        <v>97.754542637283009</v>
      </c>
      <c r="BI34" s="83">
        <f>(BI33/SUM($BH$33,$BI$33))*100</f>
        <v>2.245457362716984</v>
      </c>
    </row>
    <row r="35" spans="1:72">
      <c r="A35" s="75" t="s">
        <v>51</v>
      </c>
      <c r="B35" s="123">
        <f>MIN(B7:B31)</f>
        <v>4.3</v>
      </c>
      <c r="C35" s="123">
        <f>MIN(C7:C31)</f>
        <v>2.9</v>
      </c>
      <c r="D35" s="123"/>
      <c r="E35" s="123">
        <f>MIN(E7:E31)</f>
        <v>1</v>
      </c>
      <c r="F35" s="123">
        <f>MIN(F7:F31)</f>
        <v>0.1</v>
      </c>
      <c r="G35" s="87"/>
      <c r="H35" s="123">
        <f>MIN(H7:H31)</f>
        <v>4.9000000000000004</v>
      </c>
      <c r="I35" s="123">
        <f>MIN(I7:I31)</f>
        <v>2</v>
      </c>
      <c r="J35" s="123"/>
      <c r="K35" s="123">
        <f>MIN(K7:K31)</f>
        <v>3.3</v>
      </c>
      <c r="L35" s="123">
        <f>MIN(L7:L31)</f>
        <v>1</v>
      </c>
      <c r="M35" s="87"/>
      <c r="N35" s="123">
        <f>MIN(N7:N31)</f>
        <v>4.9000000000000004</v>
      </c>
      <c r="O35" s="123">
        <f>MIN(O7:O31)</f>
        <v>2.2000000000000002</v>
      </c>
      <c r="P35" s="123"/>
      <c r="Q35" s="123">
        <f>MIN(Q7:Q31)</f>
        <v>4.5</v>
      </c>
      <c r="R35" s="123">
        <f>MIN(R7:R31)</f>
        <v>1.5</v>
      </c>
      <c r="T35" s="130"/>
      <c r="U35" s="82" t="s">
        <v>297</v>
      </c>
      <c r="V35" s="83">
        <f t="shared" si="14"/>
        <v>0.62800000000000011</v>
      </c>
      <c r="W35" s="83">
        <f t="shared" si="15"/>
        <v>-0.26133333333333342</v>
      </c>
      <c r="X35" s="83"/>
      <c r="Y35" s="83">
        <f t="shared" si="6"/>
        <v>0.39438400000000012</v>
      </c>
      <c r="Z35" s="83">
        <f t="shared" si="7"/>
        <v>-0.16411733333333342</v>
      </c>
      <c r="AA35" s="83">
        <f t="shared" si="8"/>
        <v>6.8295111111111154E-2</v>
      </c>
      <c r="AC35" s="83">
        <f t="shared" si="17"/>
        <v>0.48799999999999999</v>
      </c>
      <c r="AD35" s="83">
        <f t="shared" si="16"/>
        <v>2.3999999999999744E-2</v>
      </c>
      <c r="AE35" s="81"/>
      <c r="AF35" s="83">
        <f t="shared" si="11"/>
        <v>0.23814399999999999</v>
      </c>
      <c r="AG35" s="83">
        <f t="shared" si="12"/>
        <v>1.1711999999999875E-2</v>
      </c>
      <c r="AH35" s="83">
        <f t="shared" si="13"/>
        <v>5.7599999999998765E-4</v>
      </c>
      <c r="AJ35" s="106" t="s">
        <v>289</v>
      </c>
      <c r="AK35" s="83">
        <f>AK34</f>
        <v>83.408071748878925</v>
      </c>
      <c r="AL35" s="83">
        <f>AK35+AL34</f>
        <v>100</v>
      </c>
      <c r="AT35" s="82" t="s">
        <v>297</v>
      </c>
      <c r="AU35" s="83">
        <f t="shared" si="0"/>
        <v>0.46081288133333342</v>
      </c>
      <c r="AV35" s="83">
        <f t="shared" si="1"/>
        <v>-0.50033090400000013</v>
      </c>
      <c r="AX35" s="83">
        <f t="shared" si="2"/>
        <v>0.75553248260111228</v>
      </c>
      <c r="AY35" s="83">
        <f t="shared" si="3"/>
        <v>-1.8392529825310664</v>
      </c>
      <c r="BG35" s="106" t="s">
        <v>289</v>
      </c>
      <c r="BH35" s="83">
        <f>BH34</f>
        <v>97.754542637283009</v>
      </c>
      <c r="BI35" s="83">
        <f>BH35+BI34</f>
        <v>100</v>
      </c>
    </row>
    <row r="36" spans="1:72">
      <c r="A36" s="75" t="s">
        <v>53</v>
      </c>
      <c r="B36" s="123">
        <f>MAX(B7:B31)</f>
        <v>5.8</v>
      </c>
      <c r="C36" s="123">
        <f>MAX(C7:C31)</f>
        <v>4.4000000000000004</v>
      </c>
      <c r="D36" s="123"/>
      <c r="E36" s="123">
        <f>MAX(E7:E31)</f>
        <v>1.9</v>
      </c>
      <c r="F36" s="123">
        <f>MAX(F7:F31)</f>
        <v>0.5</v>
      </c>
      <c r="G36" s="87"/>
      <c r="H36" s="123">
        <f>MAX(H7:H31)</f>
        <v>7</v>
      </c>
      <c r="I36" s="123">
        <f>MAX(I7:I31)</f>
        <v>3.3</v>
      </c>
      <c r="J36" s="123"/>
      <c r="K36" s="123">
        <f>MAX(K7:K31)</f>
        <v>4.9000000000000004</v>
      </c>
      <c r="L36" s="123">
        <f>MAX(L7:L31)</f>
        <v>1.8</v>
      </c>
      <c r="M36" s="87"/>
      <c r="N36" s="123">
        <f>MAX(N7:N31)</f>
        <v>7.7</v>
      </c>
      <c r="O36" s="123">
        <f>MAX(O7:O31)</f>
        <v>3.8</v>
      </c>
      <c r="P36" s="123"/>
      <c r="Q36" s="123">
        <f>MAX(Q7:Q31)</f>
        <v>6.9</v>
      </c>
      <c r="R36" s="123">
        <f>MAX(R7:R31)</f>
        <v>2.5</v>
      </c>
      <c r="T36" s="130"/>
      <c r="U36" s="82" t="s">
        <v>297</v>
      </c>
      <c r="V36" s="83">
        <f t="shared" si="14"/>
        <v>-0.17199999999999971</v>
      </c>
      <c r="W36" s="83">
        <f t="shared" si="15"/>
        <v>-0.26133333333333342</v>
      </c>
      <c r="X36" s="83"/>
      <c r="Y36" s="83">
        <f t="shared" si="6"/>
        <v>2.9583999999999899E-2</v>
      </c>
      <c r="Z36" s="83">
        <f t="shared" si="7"/>
        <v>4.4949333333333272E-2</v>
      </c>
      <c r="AA36" s="83">
        <f t="shared" si="8"/>
        <v>6.8295111111111154E-2</v>
      </c>
      <c r="AC36" s="83">
        <f t="shared" si="17"/>
        <v>-0.31199999999999983</v>
      </c>
      <c r="AD36" s="83">
        <f t="shared" si="16"/>
        <v>2.3999999999999744E-2</v>
      </c>
      <c r="AE36" s="81"/>
      <c r="AF36" s="83">
        <f t="shared" si="11"/>
        <v>9.7343999999999889E-2</v>
      </c>
      <c r="AG36" s="83">
        <f t="shared" si="12"/>
        <v>-7.4879999999999157E-3</v>
      </c>
      <c r="AH36" s="83">
        <f t="shared" si="13"/>
        <v>5.7599999999998765E-4</v>
      </c>
      <c r="AJ36" s="75" t="s">
        <v>108</v>
      </c>
      <c r="AK36" s="83">
        <f>SQRT(AK33)</f>
        <v>0.60991802727907629</v>
      </c>
      <c r="AL36" s="83">
        <f>SQRT(AL33)</f>
        <v>0.27202941017470889</v>
      </c>
      <c r="AT36" s="82" t="s">
        <v>297</v>
      </c>
      <c r="AU36" s="83">
        <f t="shared" si="0"/>
        <v>-0.26564071866666639</v>
      </c>
      <c r="AV36" s="83">
        <f t="shared" si="1"/>
        <v>-0.1652701040000002</v>
      </c>
      <c r="AX36" s="83">
        <f t="shared" si="2"/>
        <v>-0.43553511584454097</v>
      </c>
      <c r="AY36" s="83">
        <f t="shared" si="3"/>
        <v>-0.60754498527882217</v>
      </c>
      <c r="BA36" s="82" t="s">
        <v>110</v>
      </c>
      <c r="BH36" s="83"/>
      <c r="BI36" s="83"/>
    </row>
    <row r="37" spans="1:72">
      <c r="A37" s="75" t="s">
        <v>178</v>
      </c>
      <c r="B37" s="123">
        <f>AVERAGE(B7:B31)</f>
        <v>5.0279999999999987</v>
      </c>
      <c r="C37" s="123">
        <f>AVERAGE(C7:C31)</f>
        <v>3.48</v>
      </c>
      <c r="D37" s="123"/>
      <c r="E37" s="123">
        <f>AVERAGE(E7:E31)</f>
        <v>1.46</v>
      </c>
      <c r="F37" s="123">
        <f>AVERAGE(F7:F31)</f>
        <v>0.24800000000000005</v>
      </c>
      <c r="G37" s="87"/>
      <c r="H37" s="123">
        <f>AVERAGE(H7:H31)</f>
        <v>6.0120000000000005</v>
      </c>
      <c r="I37" s="123">
        <f>AVERAGE(I7:I31)</f>
        <v>2.7760000000000007</v>
      </c>
      <c r="J37" s="123"/>
      <c r="K37" s="123">
        <f>AVERAGE(K7:K31)</f>
        <v>4.3120000000000003</v>
      </c>
      <c r="L37" s="123">
        <f>AVERAGE(L7:L31)</f>
        <v>1.3440000000000001</v>
      </c>
      <c r="M37" s="87"/>
      <c r="N37" s="123">
        <f>AVERAGE(N7:N31)</f>
        <v>6.5760000000000005</v>
      </c>
      <c r="O37" s="123">
        <f>AVERAGE(O7:O31)</f>
        <v>2.9279999999999999</v>
      </c>
      <c r="P37" s="123"/>
      <c r="Q37" s="123">
        <f>AVERAGE(Q7:Q31)</f>
        <v>5.64</v>
      </c>
      <c r="R37" s="123">
        <f>AVERAGE(R7:R31)</f>
        <v>2.0439999999999996</v>
      </c>
      <c r="T37" s="130"/>
      <c r="U37" s="82" t="s">
        <v>297</v>
      </c>
      <c r="V37" s="83">
        <f t="shared" si="14"/>
        <v>0.42799999999999994</v>
      </c>
      <c r="W37" s="83">
        <f t="shared" si="15"/>
        <v>0.23866666666666658</v>
      </c>
      <c r="X37" s="83"/>
      <c r="Y37" s="83">
        <f t="shared" si="6"/>
        <v>0.18318399999999996</v>
      </c>
      <c r="Z37" s="83">
        <f t="shared" si="7"/>
        <v>0.10214933333333329</v>
      </c>
      <c r="AA37" s="83">
        <f t="shared" si="8"/>
        <v>5.6961777777777736E-2</v>
      </c>
      <c r="AC37" s="83">
        <f t="shared" si="17"/>
        <v>0.28799999999999981</v>
      </c>
      <c r="AD37" s="83">
        <f t="shared" si="16"/>
        <v>0.5239999999999998</v>
      </c>
      <c r="AE37" s="81"/>
      <c r="AF37" s="83">
        <f t="shared" si="11"/>
        <v>8.2943999999999893E-2</v>
      </c>
      <c r="AG37" s="83">
        <f t="shared" si="12"/>
        <v>0.15091199999999985</v>
      </c>
      <c r="AH37" s="83">
        <f t="shared" si="13"/>
        <v>0.27457599999999976</v>
      </c>
      <c r="AT37" s="82" t="s">
        <v>297</v>
      </c>
      <c r="AU37" s="83">
        <f t="shared" si="0"/>
        <v>0.48861248133333324</v>
      </c>
      <c r="AV37" s="83">
        <f t="shared" si="1"/>
        <v>3.7467795999999942E-2</v>
      </c>
      <c r="AX37" s="83">
        <f t="shared" si="2"/>
        <v>0.80111172236226091</v>
      </c>
      <c r="AY37" s="83">
        <f t="shared" si="3"/>
        <v>0.13773435738413919</v>
      </c>
    </row>
    <row r="38" spans="1:72">
      <c r="A38" s="75" t="s">
        <v>161</v>
      </c>
      <c r="B38" s="123">
        <f>MEDIAN(B7:B31)</f>
        <v>5</v>
      </c>
      <c r="C38" s="123">
        <f>MEDIAN(C7:C31)</f>
        <v>3.4</v>
      </c>
      <c r="D38" s="123"/>
      <c r="E38" s="123">
        <f>MEDIAN(E7:E31)</f>
        <v>1.5</v>
      </c>
      <c r="F38" s="123">
        <f>MEDIAN(F7:F31)</f>
        <v>0.2</v>
      </c>
      <c r="G38" s="87"/>
      <c r="H38" s="123">
        <f>MEDIAN(H7:H31)</f>
        <v>6.1</v>
      </c>
      <c r="I38" s="123">
        <f>MEDIAN(I7:I31)</f>
        <v>2.8</v>
      </c>
      <c r="J38" s="123"/>
      <c r="K38" s="123">
        <f>MEDIAN(K7:K31)</f>
        <v>4.5</v>
      </c>
      <c r="L38" s="123">
        <f>MEDIAN(L7:L31)</f>
        <v>1.4</v>
      </c>
      <c r="M38" s="87"/>
      <c r="N38" s="123">
        <f>MEDIAN(N7:N31)</f>
        <v>6.5</v>
      </c>
      <c r="O38" s="123">
        <f>MEDIAN(O7:O31)</f>
        <v>2.9</v>
      </c>
      <c r="P38" s="123"/>
      <c r="Q38" s="123">
        <f>MEDIAN(Q7:Q31)</f>
        <v>5.6</v>
      </c>
      <c r="R38" s="123">
        <f>MEDIAN(R7:R31)</f>
        <v>2</v>
      </c>
      <c r="T38" s="130"/>
      <c r="U38" s="82" t="s">
        <v>297</v>
      </c>
      <c r="V38" s="83">
        <f t="shared" si="14"/>
        <v>-0.97199999999999953</v>
      </c>
      <c r="W38" s="83">
        <f t="shared" si="15"/>
        <v>-0.66133333333333333</v>
      </c>
      <c r="X38" s="83"/>
      <c r="Y38" s="83">
        <f t="shared" si="6"/>
        <v>0.94478399999999907</v>
      </c>
      <c r="Z38" s="83">
        <f t="shared" si="7"/>
        <v>0.64281599999999972</v>
      </c>
      <c r="AA38" s="83">
        <f t="shared" si="8"/>
        <v>0.43736177777777779</v>
      </c>
      <c r="AC38" s="83">
        <f t="shared" si="17"/>
        <v>-1.1119999999999997</v>
      </c>
      <c r="AD38" s="83">
        <f t="shared" si="16"/>
        <v>-0.37600000000000017</v>
      </c>
      <c r="AE38" s="81"/>
      <c r="AF38" s="83">
        <f t="shared" si="11"/>
        <v>1.2365439999999992</v>
      </c>
      <c r="AG38" s="83">
        <f t="shared" si="12"/>
        <v>0.41811200000000004</v>
      </c>
      <c r="AH38" s="83">
        <f t="shared" si="13"/>
        <v>0.14137600000000011</v>
      </c>
      <c r="AT38" s="82" t="s">
        <v>297</v>
      </c>
      <c r="AU38" s="83">
        <f t="shared" ref="AU38:AU69" si="18">(V38*$AK$30)+(W38*$AK$31)</f>
        <v>-1.1596247186666662</v>
      </c>
      <c r="AV38" s="83">
        <f t="shared" ref="AV38:AV69" si="19">(V38*$AL$30)+(W38*$AL$31)</f>
        <v>-0.19343610400000016</v>
      </c>
      <c r="AX38" s="83">
        <f t="shared" ref="AX38:AX69" si="20">AU38*(1/$AK$36)</f>
        <v>-1.9012796257882441</v>
      </c>
      <c r="AY38" s="83">
        <f t="shared" ref="AY38:AY69" si="21">AV38*(1/$AL$36)</f>
        <v>-0.71108526050829302</v>
      </c>
      <c r="BG38" s="75" t="s">
        <v>352</v>
      </c>
    </row>
    <row r="39" spans="1:72">
      <c r="A39" s="75" t="s">
        <v>330</v>
      </c>
      <c r="B39" s="123">
        <f>VAR(B7:B31)</f>
        <v>0.16043333333333346</v>
      </c>
      <c r="C39" s="123">
        <f>VAR(C7:C31)</f>
        <v>0.13583333333333295</v>
      </c>
      <c r="D39" s="123"/>
      <c r="E39" s="123">
        <f>VAR(E7:E31)</f>
        <v>3.9166666666666572E-2</v>
      </c>
      <c r="F39" s="123">
        <f>VAR(F7:F31)</f>
        <v>1.0933333333333342E-2</v>
      </c>
      <c r="G39" s="87"/>
      <c r="H39" s="123">
        <f>VAR(H7:H31)</f>
        <v>0.30026666666666668</v>
      </c>
      <c r="I39" s="123">
        <f>VAR(I7:I31)</f>
        <v>0.12439999999999667</v>
      </c>
      <c r="J39" s="123"/>
      <c r="K39" s="123">
        <f>VAR(K7:K31)</f>
        <v>0.19693333333333149</v>
      </c>
      <c r="L39" s="123">
        <f>VAR(L7:L31)</f>
        <v>4.2566666666666642E-2</v>
      </c>
      <c r="M39" s="87"/>
      <c r="N39" s="123">
        <f>VAR(N7:N31)</f>
        <v>0.52440000000000475</v>
      </c>
      <c r="O39" s="123">
        <f>VAR(O7:O31)</f>
        <v>0.13043333333333251</v>
      </c>
      <c r="P39" s="123"/>
      <c r="Q39" s="123">
        <f>VAR(Q7:Q31)</f>
        <v>0.41749999999999449</v>
      </c>
      <c r="R39" s="123">
        <f>VAR(R7:R31)</f>
        <v>6.5066666666668979E-2</v>
      </c>
      <c r="T39" s="130"/>
      <c r="U39" s="82" t="s">
        <v>297</v>
      </c>
      <c r="V39" s="83">
        <f t="shared" si="14"/>
        <v>0.72799999999999976</v>
      </c>
      <c r="W39" s="83">
        <f t="shared" si="15"/>
        <v>-0.16133333333333333</v>
      </c>
      <c r="X39" s="83"/>
      <c r="Y39" s="83">
        <f t="shared" si="6"/>
        <v>0.52998399999999968</v>
      </c>
      <c r="Z39" s="83">
        <f t="shared" si="7"/>
        <v>-0.11745066666666662</v>
      </c>
      <c r="AA39" s="83">
        <f t="shared" si="8"/>
        <v>2.6028444444444444E-2</v>
      </c>
      <c r="AC39" s="83">
        <f t="shared" si="17"/>
        <v>0.58799999999999963</v>
      </c>
      <c r="AD39" s="83">
        <f t="shared" si="16"/>
        <v>0.12399999999999983</v>
      </c>
      <c r="AE39" s="81"/>
      <c r="AF39" s="83">
        <f t="shared" si="11"/>
        <v>0.34574399999999955</v>
      </c>
      <c r="AG39" s="83">
        <f t="shared" si="12"/>
        <v>7.2911999999999852E-2</v>
      </c>
      <c r="AH39" s="83">
        <f t="shared" si="13"/>
        <v>1.5375999999999959E-2</v>
      </c>
      <c r="AJ39" s="75" t="s">
        <v>294</v>
      </c>
      <c r="AN39" s="75" t="s">
        <v>105</v>
      </c>
      <c r="AT39" s="82" t="s">
        <v>297</v>
      </c>
      <c r="AU39" s="83">
        <f t="shared" si="18"/>
        <v>0.59350218133333299</v>
      </c>
      <c r="AV39" s="83">
        <f t="shared" si="19"/>
        <v>-0.45140680399999988</v>
      </c>
      <c r="AX39" s="83">
        <f t="shared" si="20"/>
        <v>0.97308516028133074</v>
      </c>
      <c r="AY39" s="83">
        <f t="shared" si="21"/>
        <v>-1.6594044140671671</v>
      </c>
    </row>
    <row r="40" spans="1:72">
      <c r="A40" s="96" t="s">
        <v>184</v>
      </c>
      <c r="B40" s="125">
        <f>STDEV(B7:B31)</f>
        <v>0.40054130040900082</v>
      </c>
      <c r="C40" s="125">
        <f>STDEV(C7:C31)</f>
        <v>0.36855573979159917</v>
      </c>
      <c r="D40" s="125"/>
      <c r="E40" s="125">
        <f>STDEV(E7:E31)</f>
        <v>0.19790570145063172</v>
      </c>
      <c r="F40" s="125">
        <f>STDEV(F7:F31)</f>
        <v>0.10456258094238752</v>
      </c>
      <c r="G40" s="87"/>
      <c r="H40" s="125">
        <f>STDEV(H7:H31)</f>
        <v>0.54796593568092045</v>
      </c>
      <c r="I40" s="125">
        <f>STDEV(I7:I31)</f>
        <v>0.35270384177096326</v>
      </c>
      <c r="J40" s="125"/>
      <c r="K40" s="125">
        <f>STDEV(K7:K31)</f>
        <v>0.44377171308380109</v>
      </c>
      <c r="L40" s="125">
        <f>STDEV(L7:L31)</f>
        <v>0.20631690833925037</v>
      </c>
      <c r="M40" s="87"/>
      <c r="N40" s="125">
        <f>STDEV(N7:N31)</f>
        <v>0.72415467960927016</v>
      </c>
      <c r="O40" s="125">
        <f>STDEV(O7:O31)</f>
        <v>0.36115555282084827</v>
      </c>
      <c r="P40" s="125"/>
      <c r="Q40" s="125">
        <f>STDEV(Q7:Q31)</f>
        <v>0.64614239916600003</v>
      </c>
      <c r="R40" s="125">
        <f>STDEV(R7:R31)</f>
        <v>0.2550816862627911</v>
      </c>
      <c r="T40" s="130"/>
      <c r="U40" s="82" t="s">
        <v>297</v>
      </c>
      <c r="V40" s="83">
        <f t="shared" si="14"/>
        <v>-0.67199999999999971</v>
      </c>
      <c r="W40" s="83">
        <f t="shared" si="15"/>
        <v>-0.36133333333333306</v>
      </c>
      <c r="X40" s="83"/>
      <c r="Y40" s="83">
        <f t="shared" si="6"/>
        <v>0.4515839999999996</v>
      </c>
      <c r="Z40" s="83">
        <f t="shared" si="7"/>
        <v>0.2428159999999997</v>
      </c>
      <c r="AA40" s="83">
        <f t="shared" si="8"/>
        <v>0.13056177777777758</v>
      </c>
      <c r="AC40" s="83">
        <f t="shared" si="17"/>
        <v>-0.81199999999999983</v>
      </c>
      <c r="AD40" s="83">
        <f t="shared" si="16"/>
        <v>-7.5999999999999901E-2</v>
      </c>
      <c r="AE40" s="81"/>
      <c r="AF40" s="83">
        <f t="shared" si="11"/>
        <v>0.65934399999999971</v>
      </c>
      <c r="AG40" s="83">
        <f t="shared" si="12"/>
        <v>6.1711999999999906E-2</v>
      </c>
      <c r="AH40" s="83">
        <f t="shared" si="13"/>
        <v>5.7759999999999851E-3</v>
      </c>
      <c r="AT40" s="82" t="s">
        <v>297</v>
      </c>
      <c r="AU40" s="83">
        <f t="shared" si="18"/>
        <v>-0.76155681866666625</v>
      </c>
      <c r="AV40" s="83">
        <f t="shared" si="19"/>
        <v>-4.6663803999999864E-2</v>
      </c>
      <c r="AX40" s="83">
        <f t="shared" si="20"/>
        <v>-1.2486215927475866</v>
      </c>
      <c r="AY40" s="83">
        <f t="shared" si="21"/>
        <v>-0.17153955511659708</v>
      </c>
      <c r="BG40" s="75" t="s">
        <v>290</v>
      </c>
    </row>
    <row r="41" spans="1:72">
      <c r="A41" s="96"/>
      <c r="B41" s="109"/>
      <c r="D41" s="109"/>
      <c r="E41" s="109"/>
      <c r="T41" s="130"/>
      <c r="U41" s="82" t="s">
        <v>297</v>
      </c>
      <c r="V41" s="83">
        <f t="shared" si="14"/>
        <v>-0.87199999999999989</v>
      </c>
      <c r="W41" s="83">
        <f t="shared" si="15"/>
        <v>-1.0613333333333332</v>
      </c>
      <c r="X41" s="83"/>
      <c r="Y41" s="83">
        <f t="shared" si="6"/>
        <v>0.76038399999999984</v>
      </c>
      <c r="Z41" s="83">
        <f t="shared" si="7"/>
        <v>0.92548266666666645</v>
      </c>
      <c r="AA41" s="83">
        <f t="shared" si="8"/>
        <v>1.1264284444444443</v>
      </c>
      <c r="AC41" s="83">
        <f t="shared" si="17"/>
        <v>-1.012</v>
      </c>
      <c r="AD41" s="83">
        <f t="shared" si="16"/>
        <v>-0.77600000000000002</v>
      </c>
      <c r="AE41" s="81"/>
      <c r="AF41" s="83">
        <f t="shared" si="11"/>
        <v>1.0241439999999999</v>
      </c>
      <c r="AG41" s="83">
        <f t="shared" si="12"/>
        <v>0.78531200000000001</v>
      </c>
      <c r="AH41" s="83">
        <f t="shared" si="13"/>
        <v>0.60217600000000004</v>
      </c>
      <c r="AJ41" s="75" t="s">
        <v>290</v>
      </c>
      <c r="AT41" s="82" t="s">
        <v>297</v>
      </c>
      <c r="AU41" s="83">
        <f t="shared" si="18"/>
        <v>-1.2363484186666664</v>
      </c>
      <c r="AV41" s="83">
        <f t="shared" si="19"/>
        <v>-0.59854550399999995</v>
      </c>
      <c r="AX41" s="83">
        <f t="shared" si="20"/>
        <v>-2.0270730874805878</v>
      </c>
      <c r="AY41" s="83">
        <f t="shared" si="21"/>
        <v>-2.2002970326465383</v>
      </c>
      <c r="BG41" s="104" t="s">
        <v>291</v>
      </c>
      <c r="BH41" s="104" t="s">
        <v>292</v>
      </c>
    </row>
    <row r="42" spans="1:72">
      <c r="A42" s="96" t="s">
        <v>160</v>
      </c>
      <c r="B42" s="109">
        <f>AVERAGE(B7:B31,H7:H31,N7:N31)</f>
        <v>5.8719999999999999</v>
      </c>
      <c r="C42" s="109">
        <f>AVERAGE(C7:C31,I7:I31,O7:O31)</f>
        <v>3.0613333333333332</v>
      </c>
      <c r="D42" s="109"/>
      <c r="E42" s="109">
        <f>AVERAGE(E7:E31,K7:K31,Q7:Q31)</f>
        <v>3.8039999999999994</v>
      </c>
      <c r="F42" s="109">
        <f>AVERAGE(F7:F31,L7:L31,R7:R31)</f>
        <v>1.2119999999999997</v>
      </c>
      <c r="T42" s="130"/>
      <c r="U42" s="82" t="s">
        <v>297</v>
      </c>
      <c r="V42" s="83">
        <f t="shared" si="14"/>
        <v>2.8000000000000469E-2</v>
      </c>
      <c r="W42" s="83">
        <f t="shared" si="15"/>
        <v>-6.133333333333324E-2</v>
      </c>
      <c r="X42" s="83"/>
      <c r="Y42" s="83">
        <f t="shared" si="6"/>
        <v>7.8400000000002621E-4</v>
      </c>
      <c r="Z42" s="83">
        <f t="shared" si="7"/>
        <v>-1.7173333333333595E-3</v>
      </c>
      <c r="AA42" s="83">
        <f t="shared" si="8"/>
        <v>3.7617777777777662E-3</v>
      </c>
      <c r="AC42" s="83">
        <f t="shared" si="17"/>
        <v>-0.11199999999999963</v>
      </c>
      <c r="AD42" s="83">
        <f t="shared" si="16"/>
        <v>0.22399999999999992</v>
      </c>
      <c r="AE42" s="81"/>
      <c r="AF42" s="83">
        <f t="shared" si="11"/>
        <v>1.2543999999999916E-2</v>
      </c>
      <c r="AG42" s="83">
        <f t="shared" si="12"/>
        <v>-2.5087999999999909E-2</v>
      </c>
      <c r="AH42" s="83">
        <f t="shared" si="13"/>
        <v>5.0175999999999964E-2</v>
      </c>
      <c r="AJ42" s="104" t="s">
        <v>291</v>
      </c>
      <c r="AK42" s="104" t="s">
        <v>292</v>
      </c>
      <c r="AT42" s="82" t="s">
        <v>297</v>
      </c>
      <c r="AU42" s="83">
        <f t="shared" si="18"/>
        <v>-2.6211866666620356E-4</v>
      </c>
      <c r="AV42" s="83">
        <f t="shared" si="19"/>
        <v>-6.7421904000000102E-2</v>
      </c>
      <c r="AX42" s="83">
        <f t="shared" si="20"/>
        <v>-4.2976048410234578E-4</v>
      </c>
      <c r="AY42" s="83">
        <f t="shared" si="21"/>
        <v>-0.24784784835102527</v>
      </c>
      <c r="BF42" s="106" t="s">
        <v>353</v>
      </c>
      <c r="BG42" s="81">
        <v>4</v>
      </c>
      <c r="BH42" s="81">
        <v>4</v>
      </c>
    </row>
    <row r="43" spans="1:72">
      <c r="A43" s="96"/>
      <c r="B43" s="109"/>
      <c r="C43" s="109"/>
      <c r="D43" s="109"/>
      <c r="E43" s="109"/>
      <c r="F43" s="109"/>
      <c r="T43" s="130"/>
      <c r="U43" s="82" t="s">
        <v>297</v>
      </c>
      <c r="V43" s="83">
        <f t="shared" si="14"/>
        <v>0.12800000000000011</v>
      </c>
      <c r="W43" s="83">
        <f t="shared" si="15"/>
        <v>-0.86133333333333306</v>
      </c>
      <c r="X43" s="83"/>
      <c r="Y43" s="83">
        <f t="shared" si="6"/>
        <v>1.638400000000003E-2</v>
      </c>
      <c r="Z43" s="83">
        <f t="shared" si="7"/>
        <v>-0.11025066666666673</v>
      </c>
      <c r="AA43" s="83">
        <f t="shared" si="8"/>
        <v>0.74189511111111062</v>
      </c>
      <c r="AC43" s="83">
        <f t="shared" si="17"/>
        <v>-1.1999999999999983E-2</v>
      </c>
      <c r="AD43" s="83">
        <f t="shared" si="16"/>
        <v>-0.57599999999999985</v>
      </c>
      <c r="AE43" s="81"/>
      <c r="AF43" s="83">
        <f t="shared" si="11"/>
        <v>1.439999999999996E-4</v>
      </c>
      <c r="AG43" s="83">
        <f t="shared" si="12"/>
        <v>6.9119999999999885E-3</v>
      </c>
      <c r="AH43" s="83">
        <f t="shared" si="13"/>
        <v>0.33177599999999985</v>
      </c>
      <c r="AI43" s="106" t="s">
        <v>353</v>
      </c>
      <c r="AJ43" s="81">
        <v>2</v>
      </c>
      <c r="AK43" s="81">
        <v>2</v>
      </c>
      <c r="AT43" s="82" t="s">
        <v>297</v>
      </c>
      <c r="AU43" s="83">
        <f t="shared" si="18"/>
        <v>-0.24451621866666645</v>
      </c>
      <c r="AV43" s="83">
        <f t="shared" si="19"/>
        <v>-0.83575810399999984</v>
      </c>
      <c r="AX43" s="83">
        <f t="shared" si="20"/>
        <v>-0.40090013367449578</v>
      </c>
      <c r="AY43" s="83">
        <f t="shared" si="21"/>
        <v>-3.0723078929709855</v>
      </c>
      <c r="BF43" s="106" t="s">
        <v>354</v>
      </c>
      <c r="BG43" s="81">
        <v>-4</v>
      </c>
      <c r="BH43" s="81">
        <v>-4</v>
      </c>
      <c r="BJ43" s="82" t="s">
        <v>296</v>
      </c>
      <c r="BK43" s="83">
        <f>(AX6*$BH$30)+(AY6*$BH$31)</f>
        <v>-2.7808145147603889</v>
      </c>
      <c r="BL43" s="83">
        <f>(AX6*$BI$30)+(AY6*$BI$31)</f>
        <v>-0.15624832163441049</v>
      </c>
      <c r="BN43" s="82" t="s">
        <v>297</v>
      </c>
      <c r="BO43" s="83">
        <f t="shared" ref="BO43:BO67" si="22">(AX31*$BH$30)+(AY31*$BI$30)</f>
        <v>1.8240370183285568</v>
      </c>
      <c r="BP43" s="83">
        <f t="shared" ref="BP43:BP67" si="23">(AX31*$BH$31)+(AY31*$BI$31)</f>
        <v>-1.2020019960574126</v>
      </c>
      <c r="BR43" s="82" t="s">
        <v>298</v>
      </c>
      <c r="BS43" s="83">
        <f>(AX56*$BH$30)+(AY56*$BI$30)</f>
        <v>0.15774506754626155</v>
      </c>
      <c r="BT43" s="83">
        <f>(AX56*$BH$31)+(AY56*$BI$31)</f>
        <v>-0.79741258911225998</v>
      </c>
    </row>
    <row r="44" spans="1:72">
      <c r="A44" s="96"/>
      <c r="B44" s="109"/>
      <c r="C44" s="109"/>
      <c r="D44" s="109"/>
      <c r="E44" s="109"/>
      <c r="F44" s="109"/>
      <c r="T44" s="130"/>
      <c r="U44" s="82" t="s">
        <v>297</v>
      </c>
      <c r="V44" s="83">
        <f t="shared" si="14"/>
        <v>0.22799999999999976</v>
      </c>
      <c r="W44" s="83">
        <f t="shared" si="15"/>
        <v>-0.16133333333333333</v>
      </c>
      <c r="X44" s="83"/>
      <c r="Y44" s="83">
        <f t="shared" si="6"/>
        <v>5.1983999999999891E-2</v>
      </c>
      <c r="Z44" s="83">
        <f t="shared" si="7"/>
        <v>-3.6783999999999963E-2</v>
      </c>
      <c r="AA44" s="83">
        <f t="shared" si="8"/>
        <v>2.6028444444444444E-2</v>
      </c>
      <c r="AC44" s="83">
        <f t="shared" si="17"/>
        <v>8.7999999999999662E-2</v>
      </c>
      <c r="AD44" s="83">
        <f t="shared" si="16"/>
        <v>0.12399999999999983</v>
      </c>
      <c r="AE44" s="81"/>
      <c r="AF44" s="83">
        <f t="shared" si="11"/>
        <v>7.7439999999999402E-3</v>
      </c>
      <c r="AG44" s="83">
        <f t="shared" si="12"/>
        <v>1.0911999999999943E-2</v>
      </c>
      <c r="AH44" s="83">
        <f t="shared" si="13"/>
        <v>1.5375999999999959E-2</v>
      </c>
      <c r="AI44" s="106" t="s">
        <v>46</v>
      </c>
      <c r="AJ44" s="81">
        <v>-2</v>
      </c>
      <c r="AK44" s="81">
        <v>-2</v>
      </c>
      <c r="AT44" s="82" t="s">
        <v>297</v>
      </c>
      <c r="AU44" s="83">
        <f t="shared" si="18"/>
        <v>0.13946868133333312</v>
      </c>
      <c r="AV44" s="83">
        <f t="shared" si="19"/>
        <v>-0.24199380399999987</v>
      </c>
      <c r="AX44" s="83">
        <f t="shared" si="20"/>
        <v>0.22866791125279745</v>
      </c>
      <c r="AY44" s="83">
        <f t="shared" si="21"/>
        <v>-0.88958691578451432</v>
      </c>
      <c r="BF44" s="106"/>
      <c r="BG44" s="81"/>
      <c r="BH44" s="81"/>
      <c r="BJ44" s="82" t="s">
        <v>296</v>
      </c>
      <c r="BK44" s="83">
        <f t="shared" ref="BK44:BK67" si="24">(AX7*$BH$30)+(AY7*$BI$30)</f>
        <v>-1.7388046671208399</v>
      </c>
      <c r="BL44" s="83">
        <f t="shared" ref="BL44:BL67" si="25">(AX7*$BI$30)+(AY7*$BI$31)</f>
        <v>0.92907375227023759</v>
      </c>
      <c r="BN44" s="82" t="s">
        <v>297</v>
      </c>
      <c r="BO44" s="83">
        <f t="shared" si="22"/>
        <v>0.64196406055473054</v>
      </c>
      <c r="BP44" s="83">
        <f t="shared" si="23"/>
        <v>-0.69795835682004947</v>
      </c>
      <c r="BR44" s="82" t="s">
        <v>298</v>
      </c>
      <c r="BS44" s="83">
        <f t="shared" ref="BS44:BS67" si="26">(AX57*$BH$30)+(AY57*$BI$30)</f>
        <v>0.89592526967839226</v>
      </c>
      <c r="BT44" s="83">
        <f t="shared" ref="BT44:BT67" si="27">(AX57*$BH$31)+(AY57*$BI$31)</f>
        <v>0.72339280990950883</v>
      </c>
    </row>
    <row r="45" spans="1:72">
      <c r="A45" s="96"/>
      <c r="B45" s="184" t="s">
        <v>374</v>
      </c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T45" s="130"/>
      <c r="U45" s="82" t="s">
        <v>297</v>
      </c>
      <c r="V45" s="83">
        <f t="shared" si="14"/>
        <v>-0.27200000000000024</v>
      </c>
      <c r="W45" s="83">
        <f t="shared" si="15"/>
        <v>-0.16133333333333333</v>
      </c>
      <c r="X45" s="83"/>
      <c r="Y45" s="83">
        <f t="shared" si="6"/>
        <v>7.3984000000000133E-2</v>
      </c>
      <c r="Z45" s="83">
        <f t="shared" si="7"/>
        <v>4.3882666666666702E-2</v>
      </c>
      <c r="AA45" s="83">
        <f t="shared" si="8"/>
        <v>2.6028444444444444E-2</v>
      </c>
      <c r="AC45" s="83">
        <f t="shared" si="17"/>
        <v>-0.41200000000000037</v>
      </c>
      <c r="AD45" s="83">
        <f t="shared" si="16"/>
        <v>0.12399999999999983</v>
      </c>
      <c r="AE45" s="81"/>
      <c r="AF45" s="83">
        <f t="shared" si="11"/>
        <v>0.16974400000000031</v>
      </c>
      <c r="AG45" s="83">
        <f t="shared" si="12"/>
        <v>-5.1087999999999974E-2</v>
      </c>
      <c r="AH45" s="83">
        <f t="shared" si="13"/>
        <v>1.5375999999999959E-2</v>
      </c>
      <c r="AI45" s="106"/>
      <c r="AJ45" s="81"/>
      <c r="AK45" s="81"/>
      <c r="AT45" s="82" t="s">
        <v>297</v>
      </c>
      <c r="AU45" s="83">
        <f t="shared" si="18"/>
        <v>-0.31456481866666686</v>
      </c>
      <c r="AV45" s="83">
        <f t="shared" si="19"/>
        <v>-3.2580803999999894E-2</v>
      </c>
      <c r="AX45" s="83">
        <f t="shared" si="20"/>
        <v>-0.51574933777573595</v>
      </c>
      <c r="AY45" s="83">
        <f t="shared" si="21"/>
        <v>-0.11976941750186171</v>
      </c>
      <c r="BF45" s="106"/>
      <c r="BG45" s="81"/>
      <c r="BH45" s="81"/>
      <c r="BJ45" s="82" t="s">
        <v>296</v>
      </c>
      <c r="BK45" s="83">
        <f t="shared" si="24"/>
        <v>-2.7072426531377785</v>
      </c>
      <c r="BL45" s="83">
        <f t="shared" si="25"/>
        <v>0.73016528768581446</v>
      </c>
      <c r="BN45" s="82" t="s">
        <v>297</v>
      </c>
      <c r="BO45" s="83">
        <f t="shared" si="22"/>
        <v>1.9142316920790843</v>
      </c>
      <c r="BP45" s="83">
        <f t="shared" si="23"/>
        <v>-0.93453321735274686</v>
      </c>
      <c r="BR45" s="82" t="s">
        <v>298</v>
      </c>
      <c r="BS45" s="83">
        <f t="shared" si="26"/>
        <v>2.5954628447165238</v>
      </c>
      <c r="BT45" s="83">
        <f t="shared" si="27"/>
        <v>-0.91908625826676182</v>
      </c>
    </row>
    <row r="46" spans="1:72">
      <c r="B46" s="185" t="s">
        <v>164</v>
      </c>
      <c r="C46" s="185"/>
      <c r="D46" s="185"/>
      <c r="E46" s="185"/>
      <c r="F46" s="185"/>
      <c r="H46" s="185" t="s">
        <v>148</v>
      </c>
      <c r="I46" s="185"/>
      <c r="J46" s="185"/>
      <c r="K46" s="185"/>
      <c r="L46" s="185"/>
      <c r="N46" s="185" t="s">
        <v>149</v>
      </c>
      <c r="O46" s="185"/>
      <c r="P46" s="185"/>
      <c r="Q46" s="185"/>
      <c r="R46" s="185"/>
      <c r="T46" s="130"/>
      <c r="U46" s="82" t="s">
        <v>297</v>
      </c>
      <c r="V46" s="83">
        <f t="shared" si="14"/>
        <v>0.82800000000000029</v>
      </c>
      <c r="W46" s="83">
        <f t="shared" si="15"/>
        <v>3.8666666666666849E-2</v>
      </c>
      <c r="X46" s="83"/>
      <c r="Y46" s="83">
        <f t="shared" si="6"/>
        <v>0.68558400000000053</v>
      </c>
      <c r="Z46" s="83">
        <f t="shared" si="7"/>
        <v>3.2016000000000162E-2</v>
      </c>
      <c r="AA46" s="83">
        <f t="shared" si="8"/>
        <v>1.4951111111111252E-3</v>
      </c>
      <c r="AC46" s="83">
        <f t="shared" si="17"/>
        <v>0.68800000000000017</v>
      </c>
      <c r="AD46" s="83">
        <f t="shared" si="16"/>
        <v>0.32400000000000001</v>
      </c>
      <c r="AE46" s="81"/>
      <c r="AF46" s="83">
        <f t="shared" si="11"/>
        <v>0.47334400000000021</v>
      </c>
      <c r="AG46" s="83">
        <f t="shared" si="12"/>
        <v>0.22291200000000005</v>
      </c>
      <c r="AH46" s="83">
        <f t="shared" si="13"/>
        <v>0.104976</v>
      </c>
      <c r="AI46" s="106"/>
      <c r="AJ46" s="81"/>
      <c r="AK46" s="81"/>
      <c r="AT46" s="82" t="s">
        <v>297</v>
      </c>
      <c r="AU46" s="83">
        <f t="shared" si="18"/>
        <v>0.76807408133333366</v>
      </c>
      <c r="AV46" s="83">
        <f t="shared" si="19"/>
        <v>-0.3116760039999999</v>
      </c>
      <c r="AX46" s="83">
        <f t="shared" si="20"/>
        <v>1.2593070658360634</v>
      </c>
      <c r="AY46" s="83">
        <f t="shared" si="21"/>
        <v>-1.1457437774828401</v>
      </c>
      <c r="BG46" s="75" t="s">
        <v>293</v>
      </c>
      <c r="BJ46" s="82" t="s">
        <v>296</v>
      </c>
      <c r="BK46" s="83">
        <f t="shared" si="24"/>
        <v>-2.6170479793872525</v>
      </c>
      <c r="BL46" s="83">
        <f t="shared" si="25"/>
        <v>0.99763406639048113</v>
      </c>
      <c r="BN46" s="82" t="s">
        <v>297</v>
      </c>
      <c r="BO46" s="83">
        <f t="shared" si="22"/>
        <v>1.4537161243094725</v>
      </c>
      <c r="BP46" s="83">
        <f t="shared" si="23"/>
        <v>1.7092606515219468</v>
      </c>
      <c r="BR46" s="82" t="s">
        <v>298</v>
      </c>
      <c r="BS46" s="83">
        <f t="shared" si="26"/>
        <v>1.3065724010642528</v>
      </c>
      <c r="BT46" s="83">
        <f t="shared" si="27"/>
        <v>-6.3566567118504724E-2</v>
      </c>
    </row>
    <row r="47" spans="1:72">
      <c r="B47" s="186" t="s">
        <v>163</v>
      </c>
      <c r="C47" s="186"/>
      <c r="E47" s="186" t="s">
        <v>41</v>
      </c>
      <c r="F47" s="186"/>
      <c r="H47" s="186" t="s">
        <v>163</v>
      </c>
      <c r="I47" s="186"/>
      <c r="K47" s="186" t="s">
        <v>41</v>
      </c>
      <c r="L47" s="186"/>
      <c r="N47" s="186" t="s">
        <v>163</v>
      </c>
      <c r="O47" s="186"/>
      <c r="Q47" s="186" t="s">
        <v>41</v>
      </c>
      <c r="R47" s="186"/>
      <c r="T47" s="130"/>
      <c r="U47" s="82" t="s">
        <v>297</v>
      </c>
      <c r="V47" s="83">
        <f t="shared" si="14"/>
        <v>-0.27200000000000024</v>
      </c>
      <c r="W47" s="83">
        <f t="shared" si="15"/>
        <v>-6.133333333333324E-2</v>
      </c>
      <c r="X47" s="83"/>
      <c r="Y47" s="83">
        <f t="shared" si="6"/>
        <v>7.3984000000000133E-2</v>
      </c>
      <c r="Z47" s="83">
        <f t="shared" si="7"/>
        <v>1.6682666666666655E-2</v>
      </c>
      <c r="AA47" s="83">
        <f t="shared" si="8"/>
        <v>3.7617777777777662E-3</v>
      </c>
      <c r="AC47" s="83">
        <f t="shared" si="17"/>
        <v>-0.41200000000000037</v>
      </c>
      <c r="AD47" s="83">
        <f t="shared" si="16"/>
        <v>0.22399999999999992</v>
      </c>
      <c r="AE47" s="81"/>
      <c r="AF47" s="83">
        <f t="shared" si="11"/>
        <v>0.16974400000000031</v>
      </c>
      <c r="AG47" s="83">
        <f t="shared" si="12"/>
        <v>-9.2288000000000051E-2</v>
      </c>
      <c r="AH47" s="83">
        <f t="shared" si="13"/>
        <v>5.0175999999999964E-2</v>
      </c>
      <c r="AJ47" s="75" t="s">
        <v>293</v>
      </c>
      <c r="AT47" s="82" t="s">
        <v>297</v>
      </c>
      <c r="AU47" s="83">
        <f t="shared" si="18"/>
        <v>-0.27268221866666681</v>
      </c>
      <c r="AV47" s="83">
        <f t="shared" si="19"/>
        <v>5.8225896000000187E-2</v>
      </c>
      <c r="AX47" s="83">
        <f t="shared" si="20"/>
        <v>-0.44708010990122343</v>
      </c>
      <c r="AY47" s="83">
        <f t="shared" si="21"/>
        <v>0.21404265061856742</v>
      </c>
      <c r="BG47" s="104" t="s">
        <v>472</v>
      </c>
      <c r="BH47" s="104" t="s">
        <v>473</v>
      </c>
      <c r="BJ47" s="82" t="s">
        <v>296</v>
      </c>
      <c r="BK47" s="83">
        <f t="shared" si="24"/>
        <v>-3.265033507768857</v>
      </c>
      <c r="BL47" s="83">
        <f t="shared" si="25"/>
        <v>-0.25570255392662256</v>
      </c>
      <c r="BN47" s="82" t="s">
        <v>297</v>
      </c>
      <c r="BO47" s="83">
        <f t="shared" si="22"/>
        <v>1.9878035537016938</v>
      </c>
      <c r="BP47" s="83">
        <f t="shared" si="23"/>
        <v>-4.8119608032520467E-2</v>
      </c>
      <c r="BR47" s="82" t="s">
        <v>298</v>
      </c>
      <c r="BS47" s="83">
        <f t="shared" si="26"/>
        <v>1.4133898869426975</v>
      </c>
      <c r="BT47" s="83">
        <f t="shared" si="27"/>
        <v>-0.41504261902939854</v>
      </c>
    </row>
    <row r="48" spans="1:72">
      <c r="B48" s="81" t="s">
        <v>333</v>
      </c>
      <c r="C48" s="81" t="s">
        <v>334</v>
      </c>
      <c r="D48" s="81"/>
      <c r="E48" s="81" t="s">
        <v>333</v>
      </c>
      <c r="F48" s="81" t="s">
        <v>334</v>
      </c>
      <c r="H48" s="81" t="s">
        <v>333</v>
      </c>
      <c r="I48" s="81" t="s">
        <v>334</v>
      </c>
      <c r="J48" s="81"/>
      <c r="K48" s="81" t="s">
        <v>333</v>
      </c>
      <c r="L48" s="81" t="s">
        <v>334</v>
      </c>
      <c r="N48" s="81" t="s">
        <v>333</v>
      </c>
      <c r="O48" s="81" t="s">
        <v>334</v>
      </c>
      <c r="P48" s="81"/>
      <c r="Q48" s="81" t="s">
        <v>333</v>
      </c>
      <c r="R48" s="81" t="s">
        <v>334</v>
      </c>
      <c r="T48" s="130"/>
      <c r="U48" s="82" t="s">
        <v>297</v>
      </c>
      <c r="V48" s="83">
        <f t="shared" si="14"/>
        <v>-7.2000000000000064E-2</v>
      </c>
      <c r="W48" s="83">
        <f t="shared" si="15"/>
        <v>-0.36133333333333306</v>
      </c>
      <c r="X48" s="83"/>
      <c r="Y48" s="83">
        <f t="shared" si="6"/>
        <v>5.1840000000000089E-3</v>
      </c>
      <c r="Z48" s="83">
        <f t="shared" si="7"/>
        <v>2.6016000000000004E-2</v>
      </c>
      <c r="AA48" s="83">
        <f t="shared" si="8"/>
        <v>0.13056177777777758</v>
      </c>
      <c r="AC48" s="83">
        <f t="shared" si="17"/>
        <v>-0.21200000000000016</v>
      </c>
      <c r="AD48" s="83">
        <f t="shared" si="16"/>
        <v>-7.5999999999999901E-2</v>
      </c>
      <c r="AE48" s="81"/>
      <c r="AF48" s="83">
        <f t="shared" si="11"/>
        <v>4.4944000000000067E-2</v>
      </c>
      <c r="AG48" s="83">
        <f t="shared" si="12"/>
        <v>1.6111999999999991E-2</v>
      </c>
      <c r="AH48" s="83">
        <f t="shared" si="13"/>
        <v>5.7759999999999851E-3</v>
      </c>
      <c r="AJ48" s="104" t="s">
        <v>472</v>
      </c>
      <c r="AK48" s="104" t="s">
        <v>473</v>
      </c>
      <c r="AT48" s="82" t="s">
        <v>297</v>
      </c>
      <c r="AU48" s="83">
        <f t="shared" si="18"/>
        <v>-0.21671661866666661</v>
      </c>
      <c r="AV48" s="83">
        <f t="shared" si="19"/>
        <v>-0.29795940399999971</v>
      </c>
      <c r="AX48" s="83">
        <f t="shared" si="20"/>
        <v>-0.35532089391334709</v>
      </c>
      <c r="AY48" s="83">
        <f t="shared" si="21"/>
        <v>-1.0953205530557797</v>
      </c>
      <c r="BF48" s="106" t="s">
        <v>291</v>
      </c>
      <c r="BG48" s="83">
        <f>BG42*BH30</f>
        <v>1.4299040000000001</v>
      </c>
      <c r="BH48" s="83">
        <f>BH42*BI30</f>
        <v>-3.7356880000000001</v>
      </c>
      <c r="BJ48" s="82" t="s">
        <v>296</v>
      </c>
      <c r="BK48" s="83">
        <f t="shared" si="24"/>
        <v>-3.3386053693914652</v>
      </c>
      <c r="BL48" s="83">
        <f t="shared" si="25"/>
        <v>-1.1421161632468479</v>
      </c>
      <c r="BN48" s="82" t="s">
        <v>297</v>
      </c>
      <c r="BO48" s="83">
        <f t="shared" si="22"/>
        <v>0.41170627666992499</v>
      </c>
      <c r="BP48" s="83">
        <f t="shared" si="23"/>
        <v>0.62393857761729765</v>
      </c>
      <c r="BR48" s="82" t="s">
        <v>298</v>
      </c>
      <c r="BS48" s="83">
        <f t="shared" si="26"/>
        <v>3.5805236428613791</v>
      </c>
      <c r="BT48" s="83">
        <f t="shared" si="27"/>
        <v>-1.3391226242978982</v>
      </c>
    </row>
    <row r="49" spans="1:72">
      <c r="T49" s="130"/>
      <c r="U49" s="82" t="s">
        <v>297</v>
      </c>
      <c r="V49" s="83">
        <f t="shared" si="14"/>
        <v>0.32800000000000029</v>
      </c>
      <c r="W49" s="83">
        <f t="shared" si="15"/>
        <v>-0.86133333333333306</v>
      </c>
      <c r="X49" s="83"/>
      <c r="Y49" s="83">
        <f t="shared" si="6"/>
        <v>0.10758400000000019</v>
      </c>
      <c r="Z49" s="83">
        <f t="shared" si="7"/>
        <v>-0.28251733333333351</v>
      </c>
      <c r="AA49" s="83">
        <f t="shared" si="8"/>
        <v>0.74189511111111062</v>
      </c>
      <c r="AC49" s="83">
        <f t="shared" si="17"/>
        <v>0.18800000000000019</v>
      </c>
      <c r="AD49" s="83">
        <f t="shared" si="16"/>
        <v>-0.57599999999999985</v>
      </c>
      <c r="AE49" s="81"/>
      <c r="AF49" s="83">
        <f t="shared" si="11"/>
        <v>3.534400000000007E-2</v>
      </c>
      <c r="AG49" s="83">
        <f t="shared" si="12"/>
        <v>-0.10828800000000008</v>
      </c>
      <c r="AH49" s="83">
        <f t="shared" si="13"/>
        <v>0.33177599999999985</v>
      </c>
      <c r="AI49" s="106" t="s">
        <v>291</v>
      </c>
      <c r="AJ49" s="83">
        <f>AJ43*AK30</f>
        <v>1.8161339999999999</v>
      </c>
      <c r="AK49" s="83">
        <f>AK43*AK31</f>
        <v>0.83765199999999995</v>
      </c>
      <c r="AT49" s="82" t="s">
        <v>297</v>
      </c>
      <c r="AU49" s="83">
        <f t="shared" si="18"/>
        <v>-6.2902818666666305E-2</v>
      </c>
      <c r="AV49" s="83">
        <f t="shared" si="19"/>
        <v>-0.91952330399999993</v>
      </c>
      <c r="AX49" s="83">
        <f t="shared" si="20"/>
        <v>-0.10313323406308215</v>
      </c>
      <c r="AY49" s="83">
        <f t="shared" si="21"/>
        <v>-3.3802348922840468</v>
      </c>
      <c r="BF49" s="106" t="s">
        <v>291</v>
      </c>
      <c r="BG49" s="83">
        <f>BG43*BH30</f>
        <v>-1.4299040000000001</v>
      </c>
      <c r="BH49" s="83">
        <f>BH43*BI30</f>
        <v>3.7356880000000001</v>
      </c>
      <c r="BJ49" s="82" t="s">
        <v>296</v>
      </c>
      <c r="BK49" s="83">
        <f t="shared" si="24"/>
        <v>-3.4786684795257461</v>
      </c>
      <c r="BL49" s="83">
        <f t="shared" si="25"/>
        <v>0.44724954989516497</v>
      </c>
      <c r="BN49" s="82" t="s">
        <v>297</v>
      </c>
      <c r="BO49" s="83">
        <f t="shared" si="22"/>
        <v>0.15774506754626155</v>
      </c>
      <c r="BP49" s="83">
        <f t="shared" si="23"/>
        <v>-0.79741258911225998</v>
      </c>
      <c r="BR49" s="82" t="s">
        <v>298</v>
      </c>
      <c r="BS49" s="83">
        <f t="shared" si="26"/>
        <v>-0.30277050022335023</v>
      </c>
      <c r="BT49" s="83">
        <f t="shared" si="27"/>
        <v>1.8463812797624322</v>
      </c>
    </row>
    <row r="50" spans="1:72">
      <c r="A50" s="75">
        <v>1</v>
      </c>
      <c r="B50" s="86">
        <f>B7-$B$42</f>
        <v>-0.77200000000000024</v>
      </c>
      <c r="C50" s="86">
        <f>C7-$C$42</f>
        <v>0.43866666666666676</v>
      </c>
      <c r="E50" s="86">
        <f>E7-$E$42</f>
        <v>-2.4039999999999995</v>
      </c>
      <c r="F50" s="86">
        <f>F7-$F$42</f>
        <v>-1.0119999999999998</v>
      </c>
      <c r="H50" s="86">
        <f>H7-$B$42</f>
        <v>1.1280000000000001</v>
      </c>
      <c r="I50" s="86">
        <f>I7-$C$42</f>
        <v>0.13866666666666694</v>
      </c>
      <c r="K50" s="86">
        <f>K7-$E$42</f>
        <v>0.8960000000000008</v>
      </c>
      <c r="L50" s="86">
        <f>L7-$F$42</f>
        <v>0.18800000000000017</v>
      </c>
      <c r="N50" s="86">
        <f>N7-$B$42</f>
        <v>0.42799999999999994</v>
      </c>
      <c r="O50" s="86">
        <f>O7-$C$42</f>
        <v>0.23866666666666658</v>
      </c>
      <c r="Q50" s="86">
        <f>Q7-$E$42</f>
        <v>2.1960000000000006</v>
      </c>
      <c r="R50" s="86">
        <f>R7-$F$42</f>
        <v>1.2880000000000003</v>
      </c>
      <c r="T50" s="130"/>
      <c r="U50" s="82" t="s">
        <v>297</v>
      </c>
      <c r="V50" s="83">
        <f t="shared" si="14"/>
        <v>-0.27200000000000024</v>
      </c>
      <c r="W50" s="83">
        <f t="shared" si="15"/>
        <v>-0.56133333333333324</v>
      </c>
      <c r="X50" s="83"/>
      <c r="Y50" s="83">
        <f t="shared" si="6"/>
        <v>7.3984000000000133E-2</v>
      </c>
      <c r="Z50" s="83">
        <f t="shared" si="7"/>
        <v>0.15268266666666677</v>
      </c>
      <c r="AA50" s="83">
        <f t="shared" si="8"/>
        <v>0.31509511111111099</v>
      </c>
      <c r="AC50" s="83">
        <f t="shared" si="17"/>
        <v>-0.41200000000000037</v>
      </c>
      <c r="AD50" s="83">
        <f t="shared" si="16"/>
        <v>-0.27600000000000008</v>
      </c>
      <c r="AE50" s="81"/>
      <c r="AF50" s="83">
        <f t="shared" si="11"/>
        <v>0.16974400000000031</v>
      </c>
      <c r="AG50" s="83">
        <f t="shared" si="12"/>
        <v>0.11371200000000013</v>
      </c>
      <c r="AH50" s="83">
        <f t="shared" si="13"/>
        <v>7.6176000000000049E-2</v>
      </c>
      <c r="AI50" s="106" t="s">
        <v>291</v>
      </c>
      <c r="AJ50" s="83">
        <f>AJ44*AK30</f>
        <v>-1.8161339999999999</v>
      </c>
      <c r="AK50" s="83">
        <f>AK44*AK31</f>
        <v>-0.83765199999999995</v>
      </c>
      <c r="AT50" s="82" t="s">
        <v>297</v>
      </c>
      <c r="AU50" s="83">
        <f t="shared" si="18"/>
        <v>-0.48209521866666682</v>
      </c>
      <c r="AV50" s="83">
        <f t="shared" si="19"/>
        <v>-0.39580760399999981</v>
      </c>
      <c r="AX50" s="83">
        <f t="shared" si="20"/>
        <v>-0.7904262492737858</v>
      </c>
      <c r="AY50" s="83">
        <f t="shared" si="21"/>
        <v>-1.4550176899835767</v>
      </c>
      <c r="BF50" s="106" t="s">
        <v>292</v>
      </c>
      <c r="BG50" s="83">
        <f>BG42*BH31</f>
        <v>-3.7356880000000001</v>
      </c>
      <c r="BH50" s="83">
        <f>BH42*BI31</f>
        <v>-1.4299040000000001</v>
      </c>
      <c r="BJ50" s="82" t="s">
        <v>296</v>
      </c>
      <c r="BK50" s="83">
        <f t="shared" si="24"/>
        <v>-2.6906198410098612</v>
      </c>
      <c r="BL50" s="83">
        <f t="shared" si="25"/>
        <v>0.11122045707025541</v>
      </c>
      <c r="BN50" s="82" t="s">
        <v>297</v>
      </c>
      <c r="BO50" s="83">
        <f t="shared" si="22"/>
        <v>-1.5563666843852353E-2</v>
      </c>
      <c r="BP50" s="83">
        <f t="shared" si="23"/>
        <v>2.0298427852608709</v>
      </c>
      <c r="BR50" s="82" t="s">
        <v>298</v>
      </c>
      <c r="BS50" s="83">
        <f t="shared" si="26"/>
        <v>3.2766939973539642</v>
      </c>
      <c r="BT50" s="83">
        <f t="shared" si="27"/>
        <v>-0.90363929918077768</v>
      </c>
    </row>
    <row r="51" spans="1:72">
      <c r="A51" s="75">
        <v>2</v>
      </c>
      <c r="B51" s="86">
        <f t="shared" ref="B51:B74" si="28">B8-$B$42</f>
        <v>-0.97199999999999953</v>
      </c>
      <c r="C51" s="86">
        <f>C8-$C$42</f>
        <v>-6.133333333333324E-2</v>
      </c>
      <c r="E51" s="86">
        <f>E8-$E$42</f>
        <v>-2.4039999999999995</v>
      </c>
      <c r="F51" s="86">
        <f t="shared" ref="F51:F74" si="29">F8-$F$42</f>
        <v>-1.0119999999999998</v>
      </c>
      <c r="H51" s="86">
        <f t="shared" ref="H51:H74" si="30">H8-$B$42</f>
        <v>0.52800000000000047</v>
      </c>
      <c r="I51" s="86">
        <f t="shared" ref="I51:I74" si="31">I8-$C$42</f>
        <v>0.13866666666666694</v>
      </c>
      <c r="K51" s="86">
        <f t="shared" ref="K51:K74" si="32">K8-$E$42</f>
        <v>0.69600000000000062</v>
      </c>
      <c r="L51" s="86">
        <f t="shared" ref="L51:L74" si="33">L8-$F$42</f>
        <v>0.28800000000000026</v>
      </c>
      <c r="N51" s="86">
        <f t="shared" ref="N51:N74" si="34">N8-$B$42</f>
        <v>-7.2000000000000064E-2</v>
      </c>
      <c r="O51" s="86">
        <f t="shared" ref="O51:O74" si="35">O8-$C$42</f>
        <v>-0.36133333333333306</v>
      </c>
      <c r="Q51" s="86">
        <f t="shared" ref="Q51:Q74" si="36">Q8-$E$42</f>
        <v>1.2960000000000003</v>
      </c>
      <c r="R51" s="86">
        <f t="shared" ref="R51:R74" si="37">R8-$F$42</f>
        <v>0.68800000000000017</v>
      </c>
      <c r="T51" s="130"/>
      <c r="U51" s="82" t="s">
        <v>297</v>
      </c>
      <c r="V51" s="83">
        <f t="shared" si="14"/>
        <v>2.8000000000000469E-2</v>
      </c>
      <c r="W51" s="83">
        <f t="shared" si="15"/>
        <v>0.13866666666666694</v>
      </c>
      <c r="X51" s="83"/>
      <c r="Y51" s="83">
        <f t="shared" si="6"/>
        <v>7.8400000000002621E-4</v>
      </c>
      <c r="Z51" s="83">
        <f t="shared" si="7"/>
        <v>3.8826666666667395E-3</v>
      </c>
      <c r="AA51" s="83">
        <f t="shared" si="8"/>
        <v>1.922844444444452E-2</v>
      </c>
      <c r="AC51" s="83">
        <f t="shared" si="17"/>
        <v>-0.11199999999999963</v>
      </c>
      <c r="AD51" s="83">
        <f t="shared" si="16"/>
        <v>0.4240000000000001</v>
      </c>
      <c r="AE51" s="81"/>
      <c r="AF51" s="83">
        <f t="shared" si="11"/>
        <v>1.2543999999999916E-2</v>
      </c>
      <c r="AG51" s="83">
        <f t="shared" si="12"/>
        <v>-4.748799999999985E-2</v>
      </c>
      <c r="AH51" s="83">
        <f t="shared" si="13"/>
        <v>0.17977600000000007</v>
      </c>
      <c r="AI51" s="106" t="s">
        <v>292</v>
      </c>
      <c r="AJ51" s="83">
        <f>AJ43*AL30</f>
        <v>-0.83765199999999995</v>
      </c>
      <c r="AK51" s="83">
        <f>AK43*AL31</f>
        <v>1.8161339999999999</v>
      </c>
      <c r="AT51" s="82" t="s">
        <v>297</v>
      </c>
      <c r="AU51" s="83">
        <f t="shared" si="18"/>
        <v>8.3503081333333867E-2</v>
      </c>
      <c r="AV51" s="83">
        <f t="shared" si="19"/>
        <v>0.11419149600000003</v>
      </c>
      <c r="AX51" s="83">
        <f t="shared" si="20"/>
        <v>0.13690869526492269</v>
      </c>
      <c r="AY51" s="83">
        <f t="shared" si="21"/>
        <v>0.4197762878898329</v>
      </c>
      <c r="BF51" s="106" t="s">
        <v>292</v>
      </c>
      <c r="BG51" s="83">
        <f>BG43*BH31</f>
        <v>3.7356880000000001</v>
      </c>
      <c r="BH51" s="83">
        <f>BH43*BI31</f>
        <v>1.4299040000000001</v>
      </c>
      <c r="BJ51" s="82" t="s">
        <v>296</v>
      </c>
      <c r="BK51" s="83">
        <f t="shared" si="24"/>
        <v>-2.436658631886198</v>
      </c>
      <c r="BL51" s="83">
        <f t="shared" si="25"/>
        <v>1.5325716237998137</v>
      </c>
      <c r="BN51" s="82" t="s">
        <v>297</v>
      </c>
      <c r="BO51" s="83">
        <f t="shared" si="22"/>
        <v>1.8976088799511659</v>
      </c>
      <c r="BP51" s="83">
        <f t="shared" si="23"/>
        <v>-0.31558838673718637</v>
      </c>
      <c r="BR51" s="82" t="s">
        <v>298</v>
      </c>
      <c r="BS51" s="83">
        <f t="shared" si="26"/>
        <v>3.2434483730981296</v>
      </c>
      <c r="BT51" s="83">
        <f t="shared" si="27"/>
        <v>0.33425036205034109</v>
      </c>
    </row>
    <row r="52" spans="1:72">
      <c r="A52" s="75">
        <v>3</v>
      </c>
      <c r="B52" s="86">
        <f t="shared" si="28"/>
        <v>-1.1719999999999997</v>
      </c>
      <c r="C52" s="86">
        <f t="shared" ref="C52:C74" si="38">C9-$C$42</f>
        <v>0.13866666666666694</v>
      </c>
      <c r="E52" s="86">
        <f t="shared" ref="E52:E74" si="39">E9-$E$42</f>
        <v>-2.5039999999999996</v>
      </c>
      <c r="F52" s="86">
        <f t="shared" si="29"/>
        <v>-1.0119999999999998</v>
      </c>
      <c r="H52" s="86">
        <f t="shared" si="30"/>
        <v>1.0280000000000005</v>
      </c>
      <c r="I52" s="86">
        <f t="shared" si="31"/>
        <v>3.8666666666666849E-2</v>
      </c>
      <c r="K52" s="86">
        <f t="shared" si="32"/>
        <v>1.096000000000001</v>
      </c>
      <c r="L52" s="86">
        <f t="shared" si="33"/>
        <v>0.28800000000000026</v>
      </c>
      <c r="N52" s="86">
        <f t="shared" si="34"/>
        <v>1.2279999999999998</v>
      </c>
      <c r="O52" s="86">
        <f t="shared" si="35"/>
        <v>-6.133333333333324E-2</v>
      </c>
      <c r="Q52" s="86">
        <f t="shared" si="36"/>
        <v>2.096000000000001</v>
      </c>
      <c r="R52" s="86">
        <f t="shared" si="37"/>
        <v>0.88800000000000034</v>
      </c>
      <c r="T52" s="130"/>
      <c r="U52" s="82" t="s">
        <v>297</v>
      </c>
      <c r="V52" s="83">
        <f t="shared" si="14"/>
        <v>0.22799999999999976</v>
      </c>
      <c r="W52" s="83">
        <f t="shared" si="15"/>
        <v>-0.26133333333333342</v>
      </c>
      <c r="X52" s="83"/>
      <c r="Y52" s="83">
        <f t="shared" si="6"/>
        <v>5.1983999999999891E-2</v>
      </c>
      <c r="Z52" s="83">
        <f t="shared" si="7"/>
        <v>-5.9583999999999956E-2</v>
      </c>
      <c r="AA52" s="83">
        <f t="shared" si="8"/>
        <v>6.8295111111111154E-2</v>
      </c>
      <c r="AC52" s="83">
        <f t="shared" si="17"/>
        <v>8.7999999999999662E-2</v>
      </c>
      <c r="AD52" s="83">
        <f t="shared" si="16"/>
        <v>2.3999999999999744E-2</v>
      </c>
      <c r="AE52" s="81"/>
      <c r="AF52" s="83">
        <f t="shared" si="11"/>
        <v>7.7439999999999402E-3</v>
      </c>
      <c r="AG52" s="83">
        <f t="shared" si="12"/>
        <v>2.1119999999999694E-3</v>
      </c>
      <c r="AH52" s="83">
        <f t="shared" si="13"/>
        <v>5.7599999999998765E-4</v>
      </c>
      <c r="AI52" s="106" t="s">
        <v>292</v>
      </c>
      <c r="AJ52" s="83">
        <f>AJ44*AL30</f>
        <v>0.83765199999999995</v>
      </c>
      <c r="AK52" s="83">
        <f>AK44*AL31</f>
        <v>-1.8161339999999999</v>
      </c>
      <c r="AT52" s="82" t="s">
        <v>297</v>
      </c>
      <c r="AU52" s="83">
        <f t="shared" si="18"/>
        <v>9.7586081333333075E-2</v>
      </c>
      <c r="AV52" s="83">
        <f t="shared" si="19"/>
        <v>-0.33280050399999994</v>
      </c>
      <c r="AX52" s="83">
        <f t="shared" si="20"/>
        <v>0.15999868337828493</v>
      </c>
      <c r="AY52" s="83">
        <f t="shared" si="21"/>
        <v>-1.2233989839049435</v>
      </c>
      <c r="BJ52" s="82" t="s">
        <v>296</v>
      </c>
      <c r="BK52" s="83">
        <f t="shared" si="24"/>
        <v>-2.0260115005003381</v>
      </c>
      <c r="BL52" s="83">
        <f t="shared" si="25"/>
        <v>0.74561224677179871</v>
      </c>
      <c r="BN52" s="82" t="s">
        <v>297</v>
      </c>
      <c r="BO52" s="83">
        <f t="shared" si="22"/>
        <v>-0.28614768809543367</v>
      </c>
      <c r="BP52" s="83">
        <f t="shared" si="23"/>
        <v>1.2274364491468723</v>
      </c>
      <c r="BR52" s="82" t="s">
        <v>298</v>
      </c>
      <c r="BS52" s="83">
        <f t="shared" si="26"/>
        <v>1.0692340040685078</v>
      </c>
      <c r="BT52" s="83">
        <f t="shared" si="27"/>
        <v>-2.1038625644636229</v>
      </c>
    </row>
    <row r="53" spans="1:72">
      <c r="A53" s="75">
        <v>4</v>
      </c>
      <c r="B53" s="86">
        <f t="shared" si="28"/>
        <v>-1.2720000000000002</v>
      </c>
      <c r="C53" s="86">
        <f t="shared" si="38"/>
        <v>3.8666666666666849E-2</v>
      </c>
      <c r="E53" s="86">
        <f t="shared" si="39"/>
        <v>-2.3039999999999994</v>
      </c>
      <c r="F53" s="86">
        <f t="shared" si="29"/>
        <v>-1.0119999999999998</v>
      </c>
      <c r="H53" s="86">
        <f t="shared" si="30"/>
        <v>-0.37199999999999989</v>
      </c>
      <c r="I53" s="86">
        <f t="shared" si="31"/>
        <v>-0.76133333333333342</v>
      </c>
      <c r="K53" s="86">
        <f t="shared" si="32"/>
        <v>0.19600000000000062</v>
      </c>
      <c r="L53" s="86">
        <f t="shared" si="33"/>
        <v>8.80000000000003E-2</v>
      </c>
      <c r="N53" s="86">
        <f t="shared" si="34"/>
        <v>0.42799999999999994</v>
      </c>
      <c r="O53" s="86">
        <f t="shared" si="35"/>
        <v>-0.16133333333333333</v>
      </c>
      <c r="Q53" s="86">
        <f t="shared" si="36"/>
        <v>1.7960000000000003</v>
      </c>
      <c r="R53" s="86">
        <f t="shared" si="37"/>
        <v>0.5880000000000003</v>
      </c>
      <c r="T53" s="130"/>
      <c r="U53" s="82" t="s">
        <v>297</v>
      </c>
      <c r="V53" s="83">
        <f t="shared" si="14"/>
        <v>0.42799999999999994</v>
      </c>
      <c r="W53" s="83">
        <f t="shared" si="15"/>
        <v>-0.56133333333333324</v>
      </c>
      <c r="X53" s="83"/>
      <c r="Y53" s="83">
        <f t="shared" si="6"/>
        <v>0.18318399999999996</v>
      </c>
      <c r="Z53" s="83">
        <f t="shared" si="7"/>
        <v>-0.24025066666666658</v>
      </c>
      <c r="AA53" s="83">
        <f t="shared" si="8"/>
        <v>0.31509511111111099</v>
      </c>
      <c r="AC53" s="83">
        <f t="shared" si="17"/>
        <v>0.28799999999999981</v>
      </c>
      <c r="AD53" s="83">
        <f t="shared" si="16"/>
        <v>-0.27600000000000008</v>
      </c>
      <c r="AE53" s="81"/>
      <c r="AF53" s="83">
        <f t="shared" si="11"/>
        <v>8.2943999999999893E-2</v>
      </c>
      <c r="AG53" s="83">
        <f t="shared" si="12"/>
        <v>-7.9487999999999975E-2</v>
      </c>
      <c r="AH53" s="83">
        <f t="shared" si="13"/>
        <v>7.6176000000000049E-2</v>
      </c>
      <c r="AT53" s="82" t="s">
        <v>297</v>
      </c>
      <c r="AU53" s="83">
        <f t="shared" si="18"/>
        <v>0.1535516813333333</v>
      </c>
      <c r="AV53" s="83">
        <f t="shared" si="19"/>
        <v>-0.68898580399999987</v>
      </c>
      <c r="AX53" s="83">
        <f t="shared" si="20"/>
        <v>0.25175789936616128</v>
      </c>
      <c r="AY53" s="83">
        <f t="shared" si="21"/>
        <v>-2.5327621875792907</v>
      </c>
      <c r="BJ53" s="82" t="s">
        <v>296</v>
      </c>
      <c r="BK53" s="83">
        <f t="shared" si="24"/>
        <v>-2.7641917026324703</v>
      </c>
      <c r="BL53" s="83">
        <f t="shared" si="25"/>
        <v>-0.77519315224997087</v>
      </c>
      <c r="BN53" s="82" t="s">
        <v>297</v>
      </c>
      <c r="BO53" s="83">
        <f t="shared" si="22"/>
        <v>1.3302758263031096</v>
      </c>
      <c r="BP53" s="83">
        <f t="shared" si="23"/>
        <v>2.6796815340483997</v>
      </c>
      <c r="BR53" s="82" t="s">
        <v>298</v>
      </c>
      <c r="BS53" s="83">
        <f t="shared" si="26"/>
        <v>0.83897622018370122</v>
      </c>
      <c r="BT53" s="83">
        <f t="shared" si="27"/>
        <v>-0.7819656300262765</v>
      </c>
    </row>
    <row r="54" spans="1:72">
      <c r="A54" s="75">
        <v>5</v>
      </c>
      <c r="B54" s="86">
        <f t="shared" si="28"/>
        <v>-0.87199999999999989</v>
      </c>
      <c r="C54" s="86">
        <f t="shared" si="38"/>
        <v>0.53866666666666685</v>
      </c>
      <c r="E54" s="86">
        <f t="shared" si="39"/>
        <v>-2.4039999999999995</v>
      </c>
      <c r="F54" s="86">
        <f t="shared" si="29"/>
        <v>-1.0119999999999998</v>
      </c>
      <c r="H54" s="86">
        <f t="shared" si="30"/>
        <v>0.62800000000000011</v>
      </c>
      <c r="I54" s="86">
        <f t="shared" si="31"/>
        <v>-0.26133333333333342</v>
      </c>
      <c r="K54" s="86">
        <f t="shared" si="32"/>
        <v>0.79600000000000026</v>
      </c>
      <c r="L54" s="86">
        <f t="shared" si="33"/>
        <v>0.28800000000000026</v>
      </c>
      <c r="N54" s="86">
        <f t="shared" si="34"/>
        <v>0.62800000000000011</v>
      </c>
      <c r="O54" s="86">
        <f t="shared" si="35"/>
        <v>-6.133333333333324E-2</v>
      </c>
      <c r="Q54" s="86">
        <f t="shared" si="36"/>
        <v>1.9960000000000004</v>
      </c>
      <c r="R54" s="86">
        <f t="shared" si="37"/>
        <v>0.98800000000000043</v>
      </c>
      <c r="T54" s="130"/>
      <c r="U54" s="82" t="s">
        <v>297</v>
      </c>
      <c r="V54" s="83">
        <f t="shared" si="14"/>
        <v>0.22799999999999976</v>
      </c>
      <c r="W54" s="83">
        <f t="shared" si="15"/>
        <v>-0.26133333333333342</v>
      </c>
      <c r="X54" s="83"/>
      <c r="Y54" s="83">
        <f t="shared" si="6"/>
        <v>5.1983999999999891E-2</v>
      </c>
      <c r="Z54" s="83">
        <f t="shared" si="7"/>
        <v>-5.9583999999999956E-2</v>
      </c>
      <c r="AA54" s="83">
        <f t="shared" si="8"/>
        <v>6.8295111111111154E-2</v>
      </c>
      <c r="AC54" s="83">
        <f t="shared" si="17"/>
        <v>8.7999999999999662E-2</v>
      </c>
      <c r="AD54" s="83">
        <f t="shared" si="16"/>
        <v>2.3999999999999744E-2</v>
      </c>
      <c r="AE54" s="81"/>
      <c r="AF54" s="83">
        <f t="shared" si="11"/>
        <v>7.7439999999999402E-3</v>
      </c>
      <c r="AG54" s="83">
        <f t="shared" si="12"/>
        <v>2.1119999999999694E-3</v>
      </c>
      <c r="AH54" s="83">
        <f t="shared" si="13"/>
        <v>5.7599999999998765E-4</v>
      </c>
      <c r="AT54" s="82" t="s">
        <v>297</v>
      </c>
      <c r="AU54" s="83">
        <f t="shared" si="18"/>
        <v>9.7586081333333075E-2</v>
      </c>
      <c r="AV54" s="83">
        <f t="shared" si="19"/>
        <v>-0.33280050399999994</v>
      </c>
      <c r="AX54" s="83">
        <f t="shared" si="20"/>
        <v>0.15999868337828493</v>
      </c>
      <c r="AY54" s="83">
        <f t="shared" si="21"/>
        <v>-1.2233989839049435</v>
      </c>
      <c r="BJ54" s="82" t="s">
        <v>296</v>
      </c>
      <c r="BK54" s="83">
        <f t="shared" si="24"/>
        <v>-3.0846441602678034</v>
      </c>
      <c r="BL54" s="83">
        <f t="shared" si="25"/>
        <v>0.27923500348271024</v>
      </c>
      <c r="BN54" s="82" t="s">
        <v>297</v>
      </c>
      <c r="BO54" s="83">
        <f t="shared" si="22"/>
        <v>0.23131692916887125</v>
      </c>
      <c r="BP54" s="83">
        <f t="shared" si="23"/>
        <v>8.9001020207964951E-2</v>
      </c>
      <c r="BR54" s="82" t="s">
        <v>298</v>
      </c>
      <c r="BS54" s="83">
        <f t="shared" si="26"/>
        <v>2.0779982274522202</v>
      </c>
      <c r="BT54" s="83">
        <f t="shared" si="27"/>
        <v>0.21934917067214477</v>
      </c>
    </row>
    <row r="55" spans="1:72">
      <c r="A55" s="75">
        <v>6</v>
      </c>
      <c r="B55" s="86">
        <f t="shared" si="28"/>
        <v>-0.47199999999999953</v>
      </c>
      <c r="C55" s="86">
        <f t="shared" si="38"/>
        <v>0.83866666666666667</v>
      </c>
      <c r="E55" s="86">
        <f t="shared" si="39"/>
        <v>-2.1039999999999992</v>
      </c>
      <c r="F55" s="86">
        <f t="shared" si="29"/>
        <v>-0.81199999999999972</v>
      </c>
      <c r="H55" s="86">
        <f t="shared" si="30"/>
        <v>-0.17199999999999971</v>
      </c>
      <c r="I55" s="86">
        <f t="shared" si="31"/>
        <v>-0.26133333333333342</v>
      </c>
      <c r="K55" s="86">
        <f t="shared" si="32"/>
        <v>0.69600000000000062</v>
      </c>
      <c r="L55" s="86">
        <f t="shared" si="33"/>
        <v>8.80000000000003E-2</v>
      </c>
      <c r="N55" s="86">
        <f t="shared" si="34"/>
        <v>1.7279999999999998</v>
      </c>
      <c r="O55" s="86">
        <f t="shared" si="35"/>
        <v>-6.133333333333324E-2</v>
      </c>
      <c r="Q55" s="86">
        <f t="shared" si="36"/>
        <v>2.7960000000000003</v>
      </c>
      <c r="R55" s="86">
        <f t="shared" si="37"/>
        <v>0.88800000000000034</v>
      </c>
      <c r="T55" s="130"/>
      <c r="U55" s="82" t="s">
        <v>297</v>
      </c>
      <c r="V55" s="83">
        <f t="shared" si="14"/>
        <v>0.52800000000000047</v>
      </c>
      <c r="W55" s="83">
        <f t="shared" si="15"/>
        <v>-0.16133333333333333</v>
      </c>
      <c r="X55" s="83"/>
      <c r="Y55" s="83">
        <f t="shared" si="6"/>
        <v>0.27878400000000048</v>
      </c>
      <c r="Z55" s="83">
        <f t="shared" si="7"/>
        <v>-8.5184000000000079E-2</v>
      </c>
      <c r="AA55" s="83">
        <f t="shared" si="8"/>
        <v>2.6028444444444444E-2</v>
      </c>
      <c r="AC55" s="83">
        <f t="shared" si="17"/>
        <v>0.38800000000000034</v>
      </c>
      <c r="AD55" s="83">
        <f t="shared" si="16"/>
        <v>0.12399999999999983</v>
      </c>
      <c r="AE55" s="81"/>
      <c r="AF55" s="83">
        <f t="shared" si="11"/>
        <v>0.15054400000000026</v>
      </c>
      <c r="AG55" s="83">
        <f t="shared" si="12"/>
        <v>4.8111999999999981E-2</v>
      </c>
      <c r="AH55" s="83">
        <f t="shared" si="13"/>
        <v>1.5375999999999959E-2</v>
      </c>
      <c r="AT55" s="82" t="s">
        <v>297</v>
      </c>
      <c r="AU55" s="83">
        <f t="shared" si="18"/>
        <v>0.41188878133333373</v>
      </c>
      <c r="AV55" s="83">
        <f t="shared" si="19"/>
        <v>-0.36764160400000018</v>
      </c>
      <c r="AX55" s="83">
        <f t="shared" si="20"/>
        <v>0.67531826066991851</v>
      </c>
      <c r="AY55" s="83">
        <f t="shared" si="21"/>
        <v>-1.3514774147541071</v>
      </c>
      <c r="BJ55" s="82" t="s">
        <v>296</v>
      </c>
      <c r="BK55" s="83">
        <f t="shared" si="24"/>
        <v>-1.9358168267498121</v>
      </c>
      <c r="BL55" s="83">
        <f t="shared" si="25"/>
        <v>1.0130810254764653</v>
      </c>
      <c r="BN55" s="82" t="s">
        <v>297</v>
      </c>
      <c r="BO55" s="83">
        <f t="shared" si="22"/>
        <v>2.7259837558338247</v>
      </c>
      <c r="BP55" s="83">
        <f t="shared" si="23"/>
        <v>1.4726857909892486</v>
      </c>
      <c r="BR55" s="82" t="s">
        <v>298</v>
      </c>
      <c r="BS55" s="83">
        <f t="shared" si="26"/>
        <v>2.0044263658296102</v>
      </c>
      <c r="BT55" s="83">
        <f t="shared" si="27"/>
        <v>-0.66706443864808029</v>
      </c>
    </row>
    <row r="56" spans="1:72">
      <c r="A56" s="75">
        <v>7</v>
      </c>
      <c r="B56" s="86">
        <f t="shared" si="28"/>
        <v>-1.2720000000000002</v>
      </c>
      <c r="C56" s="86">
        <f t="shared" si="38"/>
        <v>0.33866666666666667</v>
      </c>
      <c r="E56" s="86">
        <f t="shared" si="39"/>
        <v>-2.4039999999999995</v>
      </c>
      <c r="F56" s="86">
        <f t="shared" si="29"/>
        <v>-0.9119999999999997</v>
      </c>
      <c r="H56" s="86">
        <f t="shared" si="30"/>
        <v>0.42799999999999994</v>
      </c>
      <c r="I56" s="86">
        <f t="shared" si="31"/>
        <v>0.23866666666666658</v>
      </c>
      <c r="K56" s="86">
        <f t="shared" si="32"/>
        <v>0.8960000000000008</v>
      </c>
      <c r="L56" s="86">
        <f t="shared" si="33"/>
        <v>0.38800000000000034</v>
      </c>
      <c r="N56" s="86">
        <f t="shared" si="34"/>
        <v>-0.97199999999999953</v>
      </c>
      <c r="O56" s="86">
        <f t="shared" si="35"/>
        <v>-0.56133333333333324</v>
      </c>
      <c r="Q56" s="86">
        <f t="shared" si="36"/>
        <v>0.69600000000000062</v>
      </c>
      <c r="R56" s="86">
        <f t="shared" si="37"/>
        <v>0.48800000000000021</v>
      </c>
      <c r="T56" s="130"/>
      <c r="U56" s="82" t="s">
        <v>298</v>
      </c>
      <c r="V56" s="83">
        <f>N50</f>
        <v>0.42799999999999994</v>
      </c>
      <c r="W56" s="83">
        <f>O50</f>
        <v>0.23866666666666658</v>
      </c>
      <c r="X56" s="83"/>
      <c r="Y56" s="83">
        <f t="shared" si="6"/>
        <v>0.18318399999999996</v>
      </c>
      <c r="Z56" s="83">
        <f t="shared" si="7"/>
        <v>0.10214933333333329</v>
      </c>
      <c r="AA56" s="83">
        <f t="shared" si="8"/>
        <v>5.6961777777777736E-2</v>
      </c>
      <c r="AC56" s="83">
        <f>V56-$N$81</f>
        <v>-0.27600000000000013</v>
      </c>
      <c r="AD56" s="83">
        <f>W56-$O$81</f>
        <v>0.37199999999999978</v>
      </c>
      <c r="AE56" s="81"/>
      <c r="AF56" s="83">
        <f>AC56*AC56</f>
        <v>7.6176000000000077E-2</v>
      </c>
      <c r="AG56" s="83">
        <f t="shared" si="12"/>
        <v>-0.10267199999999999</v>
      </c>
      <c r="AH56" s="83">
        <f t="shared" si="13"/>
        <v>0.13838399999999984</v>
      </c>
      <c r="AT56" s="82" t="s">
        <v>298</v>
      </c>
      <c r="AU56" s="83">
        <f t="shared" si="18"/>
        <v>0.48861248133333324</v>
      </c>
      <c r="AV56" s="83">
        <f t="shared" si="19"/>
        <v>3.7467795999999942E-2</v>
      </c>
      <c r="AX56" s="83">
        <f t="shared" si="20"/>
        <v>0.80111172236226091</v>
      </c>
      <c r="AY56" s="83">
        <f t="shared" si="21"/>
        <v>0.13773435738413919</v>
      </c>
      <c r="BJ56" s="82" t="s">
        <v>296</v>
      </c>
      <c r="BK56" s="83">
        <f t="shared" si="24"/>
        <v>-2.920877624894668</v>
      </c>
      <c r="BL56" s="83">
        <f t="shared" si="25"/>
        <v>1.4331173915076021</v>
      </c>
      <c r="BN56" s="82" t="s">
        <v>297</v>
      </c>
      <c r="BO56" s="83">
        <f t="shared" si="22"/>
        <v>0.91254808180631031</v>
      </c>
      <c r="BP56" s="83">
        <f t="shared" si="23"/>
        <v>0.10444797929394997</v>
      </c>
      <c r="BR56" s="82" t="s">
        <v>298</v>
      </c>
      <c r="BS56" s="83">
        <f t="shared" si="26"/>
        <v>1.2733267768084182</v>
      </c>
      <c r="BT56" s="83">
        <f t="shared" si="27"/>
        <v>1.1743230941126139</v>
      </c>
    </row>
    <row r="57" spans="1:72">
      <c r="A57" s="75">
        <v>8</v>
      </c>
      <c r="B57" s="86">
        <f t="shared" si="28"/>
        <v>-0.87199999999999989</v>
      </c>
      <c r="C57" s="86">
        <f t="shared" si="38"/>
        <v>0.33866666666666667</v>
      </c>
      <c r="E57" s="86">
        <f t="shared" si="39"/>
        <v>-2.3039999999999994</v>
      </c>
      <c r="F57" s="86">
        <f t="shared" si="29"/>
        <v>-1.0119999999999998</v>
      </c>
      <c r="H57" s="86">
        <f t="shared" si="30"/>
        <v>-0.97199999999999953</v>
      </c>
      <c r="I57" s="86">
        <f t="shared" si="31"/>
        <v>-0.66133333333333333</v>
      </c>
      <c r="K57" s="86">
        <f t="shared" si="32"/>
        <v>-0.50399999999999956</v>
      </c>
      <c r="L57" s="86">
        <f t="shared" si="33"/>
        <v>-0.21199999999999974</v>
      </c>
      <c r="N57" s="86">
        <f t="shared" si="34"/>
        <v>1.4279999999999999</v>
      </c>
      <c r="O57" s="86">
        <f t="shared" si="35"/>
        <v>-0.16133333333333333</v>
      </c>
      <c r="Q57" s="86">
        <f t="shared" si="36"/>
        <v>2.4960000000000004</v>
      </c>
      <c r="R57" s="86">
        <f t="shared" si="37"/>
        <v>0.5880000000000003</v>
      </c>
      <c r="T57" s="130"/>
      <c r="U57" s="82" t="s">
        <v>298</v>
      </c>
      <c r="V57" s="83">
        <f t="shared" ref="V57:V80" si="40">N51</f>
        <v>-7.2000000000000064E-2</v>
      </c>
      <c r="W57" s="83">
        <f t="shared" ref="W57:W80" si="41">O51</f>
        <v>-0.36133333333333306</v>
      </c>
      <c r="X57" s="83"/>
      <c r="Y57" s="83">
        <f t="shared" si="6"/>
        <v>5.1840000000000089E-3</v>
      </c>
      <c r="Z57" s="83">
        <f t="shared" si="7"/>
        <v>2.6016000000000004E-2</v>
      </c>
      <c r="AA57" s="83">
        <f t="shared" si="8"/>
        <v>0.13056177777777758</v>
      </c>
      <c r="AC57" s="83">
        <f t="shared" ref="AC57:AC80" si="42">V57-$N$81</f>
        <v>-0.77600000000000013</v>
      </c>
      <c r="AD57" s="83">
        <f t="shared" ref="AD57:AD80" si="43">W57-$O$81</f>
        <v>-0.22799999999999984</v>
      </c>
      <c r="AE57" s="81"/>
      <c r="AF57" s="83">
        <f t="shared" si="11"/>
        <v>0.60217600000000016</v>
      </c>
      <c r="AG57" s="83">
        <f t="shared" si="12"/>
        <v>0.17692799999999992</v>
      </c>
      <c r="AH57" s="83">
        <f t="shared" si="13"/>
        <v>5.1983999999999926E-2</v>
      </c>
      <c r="AT57" s="82" t="s">
        <v>298</v>
      </c>
      <c r="AU57" s="83">
        <f t="shared" si="18"/>
        <v>-0.21671661866666661</v>
      </c>
      <c r="AV57" s="83">
        <f t="shared" si="19"/>
        <v>-0.29795940399999971</v>
      </c>
      <c r="AX57" s="83">
        <f t="shared" si="20"/>
        <v>-0.35532089391334709</v>
      </c>
      <c r="AY57" s="83">
        <f t="shared" si="21"/>
        <v>-1.0953205530557797</v>
      </c>
      <c r="BJ57" s="82" t="s">
        <v>296</v>
      </c>
      <c r="BK57" s="83">
        <f t="shared" si="24"/>
        <v>-2.8377635642550803</v>
      </c>
      <c r="BL57" s="83">
        <f t="shared" si="25"/>
        <v>-1.6616067615701959</v>
      </c>
      <c r="BN57" s="82" t="s">
        <v>297</v>
      </c>
      <c r="BO57" s="83">
        <f t="shared" si="22"/>
        <v>-7.2512716338545308E-2</v>
      </c>
      <c r="BP57" s="83">
        <f t="shared" si="23"/>
        <v>0.52448434532508648</v>
      </c>
      <c r="BR57" s="82" t="s">
        <v>298</v>
      </c>
      <c r="BS57" s="83">
        <f t="shared" si="26"/>
        <v>0.60871843629889544</v>
      </c>
      <c r="BT57" s="83">
        <f t="shared" si="27"/>
        <v>0.53993130441107073</v>
      </c>
    </row>
    <row r="58" spans="1:72">
      <c r="A58" s="75">
        <v>9</v>
      </c>
      <c r="B58" s="86">
        <f t="shared" si="28"/>
        <v>-1.4719999999999995</v>
      </c>
      <c r="C58" s="86">
        <f t="shared" si="38"/>
        <v>-0.16133333333333333</v>
      </c>
      <c r="E58" s="86">
        <f t="shared" si="39"/>
        <v>-2.4039999999999995</v>
      </c>
      <c r="F58" s="86">
        <f t="shared" si="29"/>
        <v>-1.0119999999999998</v>
      </c>
      <c r="H58" s="86">
        <f t="shared" si="30"/>
        <v>0.72799999999999976</v>
      </c>
      <c r="I58" s="86">
        <f t="shared" si="31"/>
        <v>-0.16133333333333333</v>
      </c>
      <c r="K58" s="86">
        <f t="shared" si="32"/>
        <v>0.79600000000000026</v>
      </c>
      <c r="L58" s="86">
        <f t="shared" si="33"/>
        <v>8.80000000000003E-2</v>
      </c>
      <c r="N58" s="86">
        <f t="shared" si="34"/>
        <v>0.82800000000000029</v>
      </c>
      <c r="O58" s="86">
        <f t="shared" si="35"/>
        <v>-0.56133333333333324</v>
      </c>
      <c r="Q58" s="86">
        <f t="shared" si="36"/>
        <v>1.9960000000000004</v>
      </c>
      <c r="R58" s="86">
        <f t="shared" si="37"/>
        <v>0.5880000000000003</v>
      </c>
      <c r="T58" s="130"/>
      <c r="U58" s="82" t="s">
        <v>298</v>
      </c>
      <c r="V58" s="83">
        <f t="shared" si="40"/>
        <v>1.2279999999999998</v>
      </c>
      <c r="W58" s="83">
        <f t="shared" si="41"/>
        <v>-6.133333333333324E-2</v>
      </c>
      <c r="X58" s="83"/>
      <c r="Y58" s="83">
        <f t="shared" si="6"/>
        <v>1.5079839999999993</v>
      </c>
      <c r="Z58" s="83">
        <f t="shared" si="7"/>
        <v>-7.5317333333333208E-2</v>
      </c>
      <c r="AA58" s="83">
        <f t="shared" si="8"/>
        <v>3.7617777777777662E-3</v>
      </c>
      <c r="AC58" s="83">
        <f t="shared" si="42"/>
        <v>0.52399999999999969</v>
      </c>
      <c r="AD58" s="83">
        <f t="shared" si="43"/>
        <v>7.1999999999999981E-2</v>
      </c>
      <c r="AE58" s="81"/>
      <c r="AF58" s="83">
        <f t="shared" si="11"/>
        <v>0.27457599999999965</v>
      </c>
      <c r="AG58" s="83">
        <f t="shared" si="12"/>
        <v>3.772799999999997E-2</v>
      </c>
      <c r="AH58" s="83">
        <f t="shared" si="13"/>
        <v>5.1839999999999976E-3</v>
      </c>
      <c r="AT58" s="82" t="s">
        <v>298</v>
      </c>
      <c r="AU58" s="83">
        <f t="shared" si="18"/>
        <v>1.0894182813333331</v>
      </c>
      <c r="AV58" s="83">
        <f t="shared" si="19"/>
        <v>-0.57001310399999983</v>
      </c>
      <c r="AX58" s="83">
        <f t="shared" si="20"/>
        <v>1.7861716371843768</v>
      </c>
      <c r="AY58" s="83">
        <f t="shared" si="21"/>
        <v>-2.0954098442293909</v>
      </c>
      <c r="BJ58" s="82" t="s">
        <v>296</v>
      </c>
      <c r="BK58" s="83">
        <f t="shared" si="24"/>
        <v>-4.1836030574020429</v>
      </c>
      <c r="BL58" s="83">
        <f t="shared" si="25"/>
        <v>-2.3114455103577249</v>
      </c>
      <c r="BN58" s="82" t="s">
        <v>297</v>
      </c>
      <c r="BO58" s="83">
        <f t="shared" si="22"/>
        <v>1.5202073728211416</v>
      </c>
      <c r="BP58" s="83">
        <f t="shared" si="23"/>
        <v>-0.76651867094029236</v>
      </c>
      <c r="BR58" s="82" t="s">
        <v>298</v>
      </c>
      <c r="BS58" s="83">
        <f t="shared" si="26"/>
        <v>0.64196406055473054</v>
      </c>
      <c r="BT58" s="83">
        <f t="shared" si="27"/>
        <v>-0.69795835682004947</v>
      </c>
    </row>
    <row r="59" spans="1:72">
      <c r="A59" s="75">
        <v>10</v>
      </c>
      <c r="B59" s="86">
        <f t="shared" si="28"/>
        <v>-0.97199999999999953</v>
      </c>
      <c r="C59" s="86">
        <f t="shared" si="38"/>
        <v>3.8666666666666849E-2</v>
      </c>
      <c r="E59" s="86">
        <f t="shared" si="39"/>
        <v>-2.3039999999999994</v>
      </c>
      <c r="F59" s="86">
        <f t="shared" si="29"/>
        <v>-1.1119999999999997</v>
      </c>
      <c r="H59" s="86">
        <f t="shared" si="30"/>
        <v>-0.67199999999999971</v>
      </c>
      <c r="I59" s="86">
        <f t="shared" si="31"/>
        <v>-0.36133333333333306</v>
      </c>
      <c r="K59" s="86">
        <f t="shared" si="32"/>
        <v>9.6000000000000529E-2</v>
      </c>
      <c r="L59" s="86">
        <f t="shared" si="33"/>
        <v>0.18800000000000017</v>
      </c>
      <c r="N59" s="86">
        <f t="shared" si="34"/>
        <v>1.3280000000000003</v>
      </c>
      <c r="O59" s="86">
        <f t="shared" si="35"/>
        <v>0.53866666666666685</v>
      </c>
      <c r="Q59" s="86">
        <f t="shared" si="36"/>
        <v>2.2960000000000003</v>
      </c>
      <c r="R59" s="86">
        <f t="shared" si="37"/>
        <v>1.2880000000000003</v>
      </c>
      <c r="T59" s="130"/>
      <c r="U59" s="82" t="s">
        <v>298</v>
      </c>
      <c r="V59" s="83">
        <f t="shared" si="40"/>
        <v>0.42799999999999994</v>
      </c>
      <c r="W59" s="83">
        <f t="shared" si="41"/>
        <v>-0.16133333333333333</v>
      </c>
      <c r="X59" s="83"/>
      <c r="Y59" s="83">
        <f t="shared" si="6"/>
        <v>0.18318399999999996</v>
      </c>
      <c r="Z59" s="83">
        <f t="shared" si="7"/>
        <v>-6.9050666666666649E-2</v>
      </c>
      <c r="AA59" s="83">
        <f t="shared" si="8"/>
        <v>2.6028444444444444E-2</v>
      </c>
      <c r="AC59" s="83">
        <f t="shared" si="42"/>
        <v>-0.27600000000000013</v>
      </c>
      <c r="AD59" s="83">
        <f t="shared" si="43"/>
        <v>-2.8000000000000108E-2</v>
      </c>
      <c r="AE59" s="81"/>
      <c r="AF59" s="83">
        <f t="shared" si="11"/>
        <v>7.6176000000000077E-2</v>
      </c>
      <c r="AG59" s="83">
        <f t="shared" si="12"/>
        <v>7.7280000000000335E-3</v>
      </c>
      <c r="AH59" s="83">
        <f t="shared" si="13"/>
        <v>7.8400000000000605E-4</v>
      </c>
      <c r="AT59" s="82" t="s">
        <v>298</v>
      </c>
      <c r="AU59" s="83">
        <f t="shared" si="18"/>
        <v>0.32108208133333327</v>
      </c>
      <c r="AV59" s="83">
        <f t="shared" si="19"/>
        <v>-0.32575900399999996</v>
      </c>
      <c r="AX59" s="83">
        <f t="shared" si="20"/>
        <v>0.52643481086421107</v>
      </c>
      <c r="AY59" s="83">
        <f t="shared" si="21"/>
        <v>-1.1975139150975758</v>
      </c>
      <c r="BJ59" s="82" t="s">
        <v>296</v>
      </c>
      <c r="BK59" s="83">
        <f t="shared" si="24"/>
        <v>-3.3386053693914652</v>
      </c>
      <c r="BL59" s="83">
        <f t="shared" si="25"/>
        <v>-1.1421161632468479</v>
      </c>
      <c r="BN59" s="82" t="s">
        <v>297</v>
      </c>
      <c r="BO59" s="83">
        <f t="shared" si="22"/>
        <v>-0.35971954971804349</v>
      </c>
      <c r="BP59" s="83">
        <f t="shared" si="23"/>
        <v>0.34102283982664738</v>
      </c>
      <c r="BR59" s="82" t="s">
        <v>298</v>
      </c>
      <c r="BS59" s="83">
        <f t="shared" si="26"/>
        <v>1.4133898869426975</v>
      </c>
      <c r="BT59" s="83">
        <f t="shared" si="27"/>
        <v>-0.41504261902939854</v>
      </c>
    </row>
    <row r="60" spans="1:72">
      <c r="A60" s="75">
        <v>11</v>
      </c>
      <c r="B60" s="86">
        <f t="shared" si="28"/>
        <v>-0.47199999999999953</v>
      </c>
      <c r="C60" s="86">
        <f t="shared" si="38"/>
        <v>0.63866666666666694</v>
      </c>
      <c r="E60" s="86">
        <f t="shared" si="39"/>
        <v>-2.3039999999999994</v>
      </c>
      <c r="F60" s="86">
        <f t="shared" si="29"/>
        <v>-1.0119999999999998</v>
      </c>
      <c r="H60" s="86">
        <f t="shared" si="30"/>
        <v>-0.87199999999999989</v>
      </c>
      <c r="I60" s="86">
        <f t="shared" si="31"/>
        <v>-1.0613333333333332</v>
      </c>
      <c r="K60" s="86">
        <f t="shared" si="32"/>
        <v>-0.30399999999999938</v>
      </c>
      <c r="L60" s="86">
        <f t="shared" si="33"/>
        <v>-0.21199999999999974</v>
      </c>
      <c r="N60" s="86">
        <f t="shared" si="34"/>
        <v>0.62800000000000011</v>
      </c>
      <c r="O60" s="86">
        <f t="shared" si="35"/>
        <v>0.13866666666666694</v>
      </c>
      <c r="Q60" s="86">
        <f t="shared" si="36"/>
        <v>1.2960000000000003</v>
      </c>
      <c r="R60" s="86">
        <f t="shared" si="37"/>
        <v>0.78800000000000026</v>
      </c>
      <c r="T60" s="130"/>
      <c r="U60" s="82" t="s">
        <v>298</v>
      </c>
      <c r="V60" s="83">
        <f t="shared" si="40"/>
        <v>0.62800000000000011</v>
      </c>
      <c r="W60" s="83">
        <f t="shared" si="41"/>
        <v>-6.133333333333324E-2</v>
      </c>
      <c r="X60" s="83"/>
      <c r="Y60" s="83">
        <f t="shared" si="6"/>
        <v>0.39438400000000012</v>
      </c>
      <c r="Z60" s="83">
        <f t="shared" si="7"/>
        <v>-3.8517333333333278E-2</v>
      </c>
      <c r="AA60" s="83">
        <f t="shared" si="8"/>
        <v>3.7617777777777662E-3</v>
      </c>
      <c r="AC60" s="83">
        <f t="shared" si="42"/>
        <v>-7.5999999999999956E-2</v>
      </c>
      <c r="AD60" s="83">
        <f t="shared" si="43"/>
        <v>7.1999999999999981E-2</v>
      </c>
      <c r="AE60" s="81"/>
      <c r="AF60" s="83">
        <f t="shared" si="11"/>
        <v>5.7759999999999938E-3</v>
      </c>
      <c r="AG60" s="83">
        <f t="shared" si="12"/>
        <v>-5.4719999999999951E-3</v>
      </c>
      <c r="AH60" s="83">
        <f t="shared" si="13"/>
        <v>5.1839999999999976E-3</v>
      </c>
      <c r="AT60" s="82" t="s">
        <v>298</v>
      </c>
      <c r="AU60" s="83">
        <f t="shared" si="18"/>
        <v>0.54457808133333352</v>
      </c>
      <c r="AV60" s="83">
        <f t="shared" si="19"/>
        <v>-0.31871750399999993</v>
      </c>
      <c r="AX60" s="83">
        <f t="shared" si="20"/>
        <v>0.89287093835013731</v>
      </c>
      <c r="AY60" s="83">
        <f t="shared" si="21"/>
        <v>-1.171628846290208</v>
      </c>
      <c r="BJ60" s="82" t="s">
        <v>296</v>
      </c>
      <c r="BK60" s="83">
        <f t="shared" si="24"/>
        <v>-2.7808145147603889</v>
      </c>
      <c r="BL60" s="83">
        <f t="shared" si="25"/>
        <v>-0.15624832163441049</v>
      </c>
      <c r="BN60" s="82" t="s">
        <v>297</v>
      </c>
      <c r="BO60" s="83">
        <f t="shared" si="22"/>
        <v>0.89592526967839226</v>
      </c>
      <c r="BP60" s="83">
        <f t="shared" si="23"/>
        <v>0.72339280990950883</v>
      </c>
      <c r="BR60" s="82" t="s">
        <v>298</v>
      </c>
      <c r="BS60" s="83">
        <f t="shared" si="26"/>
        <v>1.4798811354543684</v>
      </c>
      <c r="BT60" s="83">
        <f t="shared" si="27"/>
        <v>-2.8908219414916365</v>
      </c>
    </row>
    <row r="61" spans="1:72">
      <c r="A61" s="75">
        <v>12</v>
      </c>
      <c r="B61" s="86">
        <f t="shared" si="28"/>
        <v>-1.0720000000000001</v>
      </c>
      <c r="C61" s="86">
        <f t="shared" si="38"/>
        <v>0.33866666666666667</v>
      </c>
      <c r="E61" s="86">
        <f t="shared" si="39"/>
        <v>-2.2039999999999993</v>
      </c>
      <c r="F61" s="86">
        <f t="shared" si="29"/>
        <v>-1.0119999999999998</v>
      </c>
      <c r="H61" s="86">
        <f t="shared" si="30"/>
        <v>2.8000000000000469E-2</v>
      </c>
      <c r="I61" s="86">
        <f t="shared" si="31"/>
        <v>-6.133333333333324E-2</v>
      </c>
      <c r="K61" s="86">
        <f t="shared" si="32"/>
        <v>0.3960000000000008</v>
      </c>
      <c r="L61" s="86">
        <f t="shared" si="33"/>
        <v>0.28800000000000026</v>
      </c>
      <c r="N61" s="86">
        <f t="shared" si="34"/>
        <v>0.52800000000000047</v>
      </c>
      <c r="O61" s="86">
        <f t="shared" si="35"/>
        <v>-0.36133333333333306</v>
      </c>
      <c r="Q61" s="86">
        <f t="shared" si="36"/>
        <v>1.4960000000000004</v>
      </c>
      <c r="R61" s="86">
        <f t="shared" si="37"/>
        <v>0.68800000000000017</v>
      </c>
      <c r="T61" s="130"/>
      <c r="U61" s="82" t="s">
        <v>298</v>
      </c>
      <c r="V61" s="83">
        <f t="shared" si="40"/>
        <v>1.7279999999999998</v>
      </c>
      <c r="W61" s="83">
        <f t="shared" si="41"/>
        <v>-6.133333333333324E-2</v>
      </c>
      <c r="X61" s="83"/>
      <c r="Y61" s="83">
        <f t="shared" si="6"/>
        <v>2.9859839999999993</v>
      </c>
      <c r="Z61" s="83">
        <f t="shared" si="7"/>
        <v>-0.10598399999999983</v>
      </c>
      <c r="AA61" s="83">
        <f t="shared" si="8"/>
        <v>3.7617777777777662E-3</v>
      </c>
      <c r="AC61" s="83">
        <f t="shared" si="42"/>
        <v>1.0239999999999996</v>
      </c>
      <c r="AD61" s="83">
        <f t="shared" si="43"/>
        <v>7.1999999999999981E-2</v>
      </c>
      <c r="AE61" s="81"/>
      <c r="AF61" s="83">
        <f t="shared" si="11"/>
        <v>1.0485759999999991</v>
      </c>
      <c r="AG61" s="83">
        <f t="shared" si="12"/>
        <v>7.3727999999999946E-2</v>
      </c>
      <c r="AH61" s="83">
        <f t="shared" si="13"/>
        <v>5.1839999999999976E-3</v>
      </c>
      <c r="AT61" s="82" t="s">
        <v>298</v>
      </c>
      <c r="AU61" s="83">
        <f t="shared" si="18"/>
        <v>1.5434517813333331</v>
      </c>
      <c r="AV61" s="83">
        <f t="shared" si="19"/>
        <v>-0.77942610399999979</v>
      </c>
      <c r="AX61" s="83">
        <f t="shared" si="20"/>
        <v>2.53058888621291</v>
      </c>
      <c r="AY61" s="83">
        <f t="shared" si="21"/>
        <v>-2.8652273425120436</v>
      </c>
      <c r="BJ61" s="82" t="s">
        <v>296</v>
      </c>
      <c r="BK61" s="83">
        <f t="shared" si="24"/>
        <v>-2.460362057125054</v>
      </c>
      <c r="BL61" s="83">
        <f t="shared" si="25"/>
        <v>-1.2106764773670908</v>
      </c>
      <c r="BN61" s="82" t="s">
        <v>297</v>
      </c>
      <c r="BO61" s="83">
        <f t="shared" si="22"/>
        <v>3.1200080750917674</v>
      </c>
      <c r="BP61" s="83">
        <f t="shared" si="23"/>
        <v>1.3046712445767938</v>
      </c>
      <c r="BR61" s="82" t="s">
        <v>298</v>
      </c>
      <c r="BS61" s="83">
        <f t="shared" si="26"/>
        <v>4.9263631360083426</v>
      </c>
      <c r="BT61" s="83">
        <f t="shared" si="27"/>
        <v>-0.68928387551037118</v>
      </c>
    </row>
    <row r="62" spans="1:72">
      <c r="A62" s="75">
        <v>13</v>
      </c>
      <c r="B62" s="86">
        <f t="shared" si="28"/>
        <v>-1.0720000000000001</v>
      </c>
      <c r="C62" s="86">
        <f t="shared" si="38"/>
        <v>-6.133333333333324E-2</v>
      </c>
      <c r="E62" s="86">
        <f t="shared" si="39"/>
        <v>-2.4039999999999995</v>
      </c>
      <c r="F62" s="86">
        <f t="shared" si="29"/>
        <v>-1.1119999999999997</v>
      </c>
      <c r="H62" s="86">
        <f t="shared" si="30"/>
        <v>0.12800000000000011</v>
      </c>
      <c r="I62" s="86">
        <f t="shared" si="31"/>
        <v>-0.86133333333333306</v>
      </c>
      <c r="K62" s="86">
        <f t="shared" si="32"/>
        <v>0.19600000000000062</v>
      </c>
      <c r="L62" s="86">
        <f t="shared" si="33"/>
        <v>-0.21199999999999974</v>
      </c>
      <c r="N62" s="86">
        <f t="shared" si="34"/>
        <v>0.92799999999999994</v>
      </c>
      <c r="O62" s="86">
        <f t="shared" si="35"/>
        <v>-6.133333333333324E-2</v>
      </c>
      <c r="Q62" s="86">
        <f t="shared" si="36"/>
        <v>1.6960000000000006</v>
      </c>
      <c r="R62" s="86">
        <f t="shared" si="37"/>
        <v>0.88800000000000034</v>
      </c>
      <c r="T62" s="130"/>
      <c r="U62" s="82" t="s">
        <v>298</v>
      </c>
      <c r="V62" s="83">
        <f t="shared" si="40"/>
        <v>-0.97199999999999953</v>
      </c>
      <c r="W62" s="83">
        <f t="shared" si="41"/>
        <v>-0.56133333333333324</v>
      </c>
      <c r="X62" s="83"/>
      <c r="Y62" s="83">
        <f t="shared" si="6"/>
        <v>0.94478399999999907</v>
      </c>
      <c r="Z62" s="83">
        <f t="shared" si="7"/>
        <v>0.54561599999999966</v>
      </c>
      <c r="AA62" s="83">
        <f t="shared" si="8"/>
        <v>0.31509511111111099</v>
      </c>
      <c r="AC62" s="83">
        <f t="shared" si="42"/>
        <v>-1.6759999999999997</v>
      </c>
      <c r="AD62" s="83">
        <f t="shared" si="43"/>
        <v>-0.42800000000000005</v>
      </c>
      <c r="AE62" s="81"/>
      <c r="AF62" s="83">
        <f t="shared" si="11"/>
        <v>2.808975999999999</v>
      </c>
      <c r="AG62" s="83">
        <f t="shared" si="12"/>
        <v>0.71732799999999997</v>
      </c>
      <c r="AH62" s="83">
        <f t="shared" si="13"/>
        <v>0.18318400000000004</v>
      </c>
      <c r="AT62" s="82" t="s">
        <v>298</v>
      </c>
      <c r="AU62" s="83">
        <f t="shared" si="18"/>
        <v>-1.1177421186666661</v>
      </c>
      <c r="AV62" s="83">
        <f t="shared" si="19"/>
        <v>-0.10262940400000015</v>
      </c>
      <c r="AX62" s="83">
        <f t="shared" si="20"/>
        <v>-1.8326103979137314</v>
      </c>
      <c r="AY62" s="83">
        <f t="shared" si="21"/>
        <v>-0.37727319238786411</v>
      </c>
      <c r="BJ62" s="82" t="s">
        <v>296</v>
      </c>
      <c r="BK62" s="83">
        <f t="shared" si="24"/>
        <v>-3.642435014898882</v>
      </c>
      <c r="BL62" s="83">
        <f t="shared" si="25"/>
        <v>-0.70663283812972644</v>
      </c>
      <c r="BN62" s="82" t="s">
        <v>297</v>
      </c>
      <c r="BO62" s="83">
        <f t="shared" si="22"/>
        <v>1.0763146171794462</v>
      </c>
      <c r="BP62" s="83">
        <f t="shared" si="23"/>
        <v>1.2583303673188417</v>
      </c>
      <c r="BR62" s="82" t="s">
        <v>298</v>
      </c>
      <c r="BS62" s="83">
        <f t="shared" si="26"/>
        <v>2.7259837558338247</v>
      </c>
      <c r="BT62" s="83">
        <f t="shared" si="27"/>
        <v>1.4726857909892486</v>
      </c>
    </row>
    <row r="63" spans="1:72">
      <c r="A63" s="75">
        <v>14</v>
      </c>
      <c r="B63" s="86">
        <f t="shared" si="28"/>
        <v>-1.5720000000000001</v>
      </c>
      <c r="C63" s="86">
        <f t="shared" si="38"/>
        <v>-6.133333333333324E-2</v>
      </c>
      <c r="E63" s="86">
        <f t="shared" si="39"/>
        <v>-2.7039999999999993</v>
      </c>
      <c r="F63" s="86">
        <f t="shared" si="29"/>
        <v>-1.1119999999999997</v>
      </c>
      <c r="H63" s="86">
        <f t="shared" si="30"/>
        <v>0.22799999999999976</v>
      </c>
      <c r="I63" s="86">
        <f t="shared" si="31"/>
        <v>-0.16133333333333333</v>
      </c>
      <c r="K63" s="86">
        <f t="shared" si="32"/>
        <v>0.8960000000000008</v>
      </c>
      <c r="L63" s="86">
        <f t="shared" si="33"/>
        <v>0.18800000000000017</v>
      </c>
      <c r="N63" s="86">
        <f t="shared" si="34"/>
        <v>-0.17199999999999971</v>
      </c>
      <c r="O63" s="86">
        <f t="shared" si="35"/>
        <v>-0.56133333333333324</v>
      </c>
      <c r="Q63" s="86">
        <f t="shared" si="36"/>
        <v>1.1960000000000006</v>
      </c>
      <c r="R63" s="86">
        <f t="shared" si="37"/>
        <v>0.78800000000000026</v>
      </c>
      <c r="T63" s="130"/>
      <c r="U63" s="82" t="s">
        <v>298</v>
      </c>
      <c r="V63" s="83">
        <f t="shared" si="40"/>
        <v>1.4279999999999999</v>
      </c>
      <c r="W63" s="83">
        <f t="shared" si="41"/>
        <v>-0.16133333333333333</v>
      </c>
      <c r="X63" s="83"/>
      <c r="Y63" s="83">
        <f t="shared" si="6"/>
        <v>2.0391839999999997</v>
      </c>
      <c r="Z63" s="83">
        <f t="shared" si="7"/>
        <v>-0.23038399999999998</v>
      </c>
      <c r="AA63" s="83">
        <f t="shared" si="8"/>
        <v>2.6028444444444444E-2</v>
      </c>
      <c r="AC63" s="83">
        <f t="shared" si="42"/>
        <v>0.72399999999999987</v>
      </c>
      <c r="AD63" s="83">
        <f t="shared" si="43"/>
        <v>-2.8000000000000108E-2</v>
      </c>
      <c r="AE63" s="81"/>
      <c r="AF63" s="83">
        <f t="shared" si="11"/>
        <v>0.52417599999999975</v>
      </c>
      <c r="AG63" s="83">
        <f t="shared" si="12"/>
        <v>-2.0272000000000075E-2</v>
      </c>
      <c r="AH63" s="83">
        <f t="shared" si="13"/>
        <v>7.8400000000000605E-4</v>
      </c>
      <c r="AT63" s="82" t="s">
        <v>298</v>
      </c>
      <c r="AU63" s="83">
        <f t="shared" si="18"/>
        <v>1.2291490813333332</v>
      </c>
      <c r="AV63" s="83">
        <f t="shared" si="19"/>
        <v>-0.74458500399999994</v>
      </c>
      <c r="AX63" s="83">
        <f t="shared" si="20"/>
        <v>2.0152693089212779</v>
      </c>
      <c r="AY63" s="83">
        <f t="shared" si="21"/>
        <v>-2.7371489116628811</v>
      </c>
      <c r="BJ63" s="82" t="s">
        <v>296</v>
      </c>
      <c r="BK63" s="83">
        <f t="shared" si="24"/>
        <v>-1.9025712024939758</v>
      </c>
      <c r="BL63" s="83">
        <f t="shared" si="25"/>
        <v>-0.22480863575465382</v>
      </c>
      <c r="BN63" s="82" t="s">
        <v>297</v>
      </c>
      <c r="BO63" s="83">
        <f t="shared" si="22"/>
        <v>-0.34309673759012504</v>
      </c>
      <c r="BP63" s="83">
        <f t="shared" si="23"/>
        <v>-0.27792199078891305</v>
      </c>
      <c r="BR63" s="82" t="s">
        <v>298</v>
      </c>
      <c r="BS63" s="83">
        <f t="shared" si="26"/>
        <v>1.6270248586995864</v>
      </c>
      <c r="BT63" s="83">
        <f t="shared" si="27"/>
        <v>-1.1179947228511862</v>
      </c>
    </row>
    <row r="64" spans="1:72">
      <c r="A64" s="75">
        <v>15</v>
      </c>
      <c r="B64" s="86">
        <f t="shared" si="28"/>
        <v>-7.2000000000000064E-2</v>
      </c>
      <c r="C64" s="86">
        <f t="shared" si="38"/>
        <v>0.93866666666666676</v>
      </c>
      <c r="E64" s="86">
        <f t="shared" si="39"/>
        <v>-2.6039999999999992</v>
      </c>
      <c r="F64" s="86">
        <f t="shared" si="29"/>
        <v>-1.0119999999999998</v>
      </c>
      <c r="H64" s="86">
        <f t="shared" si="30"/>
        <v>-0.27200000000000024</v>
      </c>
      <c r="I64" s="86">
        <f t="shared" si="31"/>
        <v>-0.16133333333333333</v>
      </c>
      <c r="K64" s="86">
        <f t="shared" si="32"/>
        <v>-0.20399999999999929</v>
      </c>
      <c r="L64" s="86">
        <f t="shared" si="33"/>
        <v>8.80000000000003E-2</v>
      </c>
      <c r="N64" s="86">
        <f t="shared" si="34"/>
        <v>-7.2000000000000064E-2</v>
      </c>
      <c r="O64" s="86">
        <f t="shared" si="35"/>
        <v>-0.26133333333333342</v>
      </c>
      <c r="Q64" s="86">
        <f t="shared" si="36"/>
        <v>1.2960000000000003</v>
      </c>
      <c r="R64" s="86">
        <f t="shared" si="37"/>
        <v>1.1880000000000002</v>
      </c>
      <c r="T64" s="130"/>
      <c r="U64" s="82" t="s">
        <v>298</v>
      </c>
      <c r="V64" s="83">
        <f t="shared" si="40"/>
        <v>0.82800000000000029</v>
      </c>
      <c r="W64" s="83">
        <f t="shared" si="41"/>
        <v>-0.56133333333333324</v>
      </c>
      <c r="X64" s="83"/>
      <c r="Y64" s="83">
        <f t="shared" si="6"/>
        <v>0.68558400000000053</v>
      </c>
      <c r="Z64" s="83">
        <f t="shared" si="7"/>
        <v>-0.46478400000000009</v>
      </c>
      <c r="AA64" s="83">
        <f t="shared" si="8"/>
        <v>0.31509511111111099</v>
      </c>
      <c r="AC64" s="83">
        <f t="shared" si="42"/>
        <v>0.12400000000000022</v>
      </c>
      <c r="AD64" s="83">
        <f t="shared" si="43"/>
        <v>-0.42800000000000005</v>
      </c>
      <c r="AE64" s="81"/>
      <c r="AF64" s="83">
        <f t="shared" si="11"/>
        <v>1.5376000000000055E-2</v>
      </c>
      <c r="AG64" s="83">
        <f t="shared" si="12"/>
        <v>-5.3072000000000098E-2</v>
      </c>
      <c r="AH64" s="83">
        <f t="shared" si="13"/>
        <v>0.18318400000000004</v>
      </c>
      <c r="AT64" s="82" t="s">
        <v>298</v>
      </c>
      <c r="AU64" s="83">
        <f t="shared" si="18"/>
        <v>0.51677848133333359</v>
      </c>
      <c r="AV64" s="83">
        <f t="shared" si="19"/>
        <v>-0.85651620400000006</v>
      </c>
      <c r="AX64" s="83">
        <f t="shared" si="20"/>
        <v>0.84729169858898856</v>
      </c>
      <c r="AY64" s="83">
        <f t="shared" si="21"/>
        <v>-3.1486161862054138</v>
      </c>
      <c r="BJ64" s="82" t="s">
        <v>296</v>
      </c>
      <c r="BK64" s="83">
        <f t="shared" si="24"/>
        <v>-3.3552281815193847</v>
      </c>
      <c r="BL64" s="83">
        <f t="shared" si="25"/>
        <v>-0.52317133263128823</v>
      </c>
      <c r="BN64" s="82" t="s">
        <v>297</v>
      </c>
      <c r="BO64" s="83">
        <f t="shared" si="22"/>
        <v>1.1997549151858085</v>
      </c>
      <c r="BP64" s="83">
        <f t="shared" si="23"/>
        <v>0.28790948479238898</v>
      </c>
      <c r="BR64" s="82" t="s">
        <v>298</v>
      </c>
      <c r="BS64" s="83">
        <f t="shared" si="26"/>
        <v>0.21469411704095284</v>
      </c>
      <c r="BT64" s="83">
        <f t="shared" si="27"/>
        <v>0.70794585082352546</v>
      </c>
    </row>
    <row r="65" spans="1:72">
      <c r="A65" s="75">
        <v>16</v>
      </c>
      <c r="B65" s="86">
        <f t="shared" si="28"/>
        <v>-0.17199999999999971</v>
      </c>
      <c r="C65" s="86">
        <f t="shared" si="38"/>
        <v>1.3386666666666671</v>
      </c>
      <c r="E65" s="86">
        <f t="shared" si="39"/>
        <v>-2.3039999999999994</v>
      </c>
      <c r="F65" s="86">
        <f t="shared" si="29"/>
        <v>-0.81199999999999972</v>
      </c>
      <c r="H65" s="86">
        <f t="shared" si="30"/>
        <v>0.82800000000000029</v>
      </c>
      <c r="I65" s="86">
        <f t="shared" si="31"/>
        <v>3.8666666666666849E-2</v>
      </c>
      <c r="K65" s="86">
        <f t="shared" si="32"/>
        <v>0.59600000000000097</v>
      </c>
      <c r="L65" s="86">
        <f t="shared" si="33"/>
        <v>0.18800000000000017</v>
      </c>
      <c r="N65" s="86">
        <f t="shared" si="34"/>
        <v>0.52800000000000047</v>
      </c>
      <c r="O65" s="86">
        <f t="shared" si="35"/>
        <v>0.13866666666666694</v>
      </c>
      <c r="Q65" s="86">
        <f t="shared" si="36"/>
        <v>1.4960000000000004</v>
      </c>
      <c r="R65" s="86">
        <f t="shared" si="37"/>
        <v>1.0880000000000001</v>
      </c>
      <c r="T65" s="130"/>
      <c r="U65" s="82" t="s">
        <v>298</v>
      </c>
      <c r="V65" s="83">
        <f t="shared" si="40"/>
        <v>1.3280000000000003</v>
      </c>
      <c r="W65" s="83">
        <f t="shared" si="41"/>
        <v>0.53866666666666685</v>
      </c>
      <c r="X65" s="83"/>
      <c r="Y65" s="83">
        <f t="shared" si="6"/>
        <v>1.7635840000000007</v>
      </c>
      <c r="Z65" s="83">
        <f t="shared" si="7"/>
        <v>0.71534933333333373</v>
      </c>
      <c r="AA65" s="83">
        <f t="shared" si="8"/>
        <v>0.29016177777777796</v>
      </c>
      <c r="AC65" s="83">
        <f t="shared" si="42"/>
        <v>0.62400000000000022</v>
      </c>
      <c r="AD65" s="83">
        <f t="shared" si="43"/>
        <v>0.67200000000000004</v>
      </c>
      <c r="AE65" s="81"/>
      <c r="AF65" s="83">
        <f t="shared" si="11"/>
        <v>0.38937600000000028</v>
      </c>
      <c r="AG65" s="83">
        <f t="shared" si="12"/>
        <v>0.4193280000000002</v>
      </c>
      <c r="AH65" s="83">
        <f t="shared" si="13"/>
        <v>0.45158400000000004</v>
      </c>
      <c r="AT65" s="82" t="s">
        <v>298</v>
      </c>
      <c r="AU65" s="83">
        <f t="shared" si="18"/>
        <v>1.4315205813333336</v>
      </c>
      <c r="AV65" s="83">
        <f t="shared" si="19"/>
        <v>-6.7055503999999932E-2</v>
      </c>
      <c r="AX65" s="83">
        <f t="shared" si="20"/>
        <v>2.347070454237159</v>
      </c>
      <c r="AY65" s="83">
        <f t="shared" si="21"/>
        <v>-0.24650093516334881</v>
      </c>
      <c r="BJ65" s="82" t="s">
        <v>296</v>
      </c>
      <c r="BK65" s="83">
        <f t="shared" si="24"/>
        <v>-4.0530821462847424</v>
      </c>
      <c r="BL65" s="83">
        <f t="shared" si="25"/>
        <v>8.0326538898287003E-2</v>
      </c>
      <c r="BN65" s="82" t="s">
        <v>297</v>
      </c>
      <c r="BO65" s="83">
        <f t="shared" si="22"/>
        <v>2.4553997345822447</v>
      </c>
      <c r="BP65" s="83">
        <f t="shared" si="23"/>
        <v>0.67027945487525054</v>
      </c>
      <c r="BR65" s="82" t="s">
        <v>298</v>
      </c>
      <c r="BS65" s="83">
        <f t="shared" si="26"/>
        <v>4.3519494692493472</v>
      </c>
      <c r="BT65" s="83">
        <f t="shared" si="27"/>
        <v>-1.056206886507248</v>
      </c>
    </row>
    <row r="66" spans="1:72">
      <c r="A66" s="75">
        <v>17</v>
      </c>
      <c r="B66" s="86">
        <f t="shared" si="28"/>
        <v>-0.47199999999999953</v>
      </c>
      <c r="C66" s="86">
        <f t="shared" si="38"/>
        <v>0.83866666666666667</v>
      </c>
      <c r="E66" s="86">
        <f t="shared" si="39"/>
        <v>-2.5039999999999996</v>
      </c>
      <c r="F66" s="86">
        <f t="shared" si="29"/>
        <v>-0.81199999999999972</v>
      </c>
      <c r="H66" s="86">
        <f t="shared" si="30"/>
        <v>-0.27200000000000024</v>
      </c>
      <c r="I66" s="86">
        <f t="shared" si="31"/>
        <v>-6.133333333333324E-2</v>
      </c>
      <c r="K66" s="86">
        <f t="shared" si="32"/>
        <v>0.69600000000000062</v>
      </c>
      <c r="L66" s="86">
        <f t="shared" si="33"/>
        <v>0.28800000000000026</v>
      </c>
      <c r="N66" s="86">
        <f t="shared" si="34"/>
        <v>0.62800000000000011</v>
      </c>
      <c r="O66" s="86">
        <f t="shared" si="35"/>
        <v>-6.133333333333324E-2</v>
      </c>
      <c r="Q66" s="86">
        <f t="shared" si="36"/>
        <v>1.6960000000000006</v>
      </c>
      <c r="R66" s="86">
        <f t="shared" si="37"/>
        <v>0.5880000000000003</v>
      </c>
      <c r="T66" s="130"/>
      <c r="U66" s="82" t="s">
        <v>298</v>
      </c>
      <c r="V66" s="83">
        <f t="shared" si="40"/>
        <v>0.62800000000000011</v>
      </c>
      <c r="W66" s="83">
        <f t="shared" si="41"/>
        <v>0.13866666666666694</v>
      </c>
      <c r="X66" s="83"/>
      <c r="Y66" s="83">
        <f t="shared" si="6"/>
        <v>0.39438400000000012</v>
      </c>
      <c r="Z66" s="83">
        <f t="shared" si="7"/>
        <v>8.708266666666685E-2</v>
      </c>
      <c r="AA66" s="83">
        <f t="shared" si="8"/>
        <v>1.922844444444452E-2</v>
      </c>
      <c r="AC66" s="83">
        <f t="shared" si="42"/>
        <v>-7.5999999999999956E-2</v>
      </c>
      <c r="AD66" s="83">
        <f t="shared" si="43"/>
        <v>0.27200000000000013</v>
      </c>
      <c r="AE66" s="81"/>
      <c r="AF66" s="83">
        <f t="shared" si="11"/>
        <v>5.7759999999999938E-3</v>
      </c>
      <c r="AG66" s="83">
        <f t="shared" si="12"/>
        <v>-2.0671999999999999E-2</v>
      </c>
      <c r="AH66" s="83">
        <f t="shared" si="13"/>
        <v>7.3984000000000077E-2</v>
      </c>
      <c r="AT66" s="82" t="s">
        <v>298</v>
      </c>
      <c r="AU66" s="83">
        <f t="shared" si="18"/>
        <v>0.62834328133333361</v>
      </c>
      <c r="AV66" s="83">
        <f t="shared" si="19"/>
        <v>-0.13710410399999981</v>
      </c>
      <c r="AX66" s="83">
        <f t="shared" si="20"/>
        <v>1.0302093940991623</v>
      </c>
      <c r="AY66" s="83">
        <f t="shared" si="21"/>
        <v>-0.50400471004934988</v>
      </c>
      <c r="BJ66" s="82" t="s">
        <v>296</v>
      </c>
      <c r="BK66" s="83">
        <f t="shared" si="24"/>
        <v>-2.2064008480013921</v>
      </c>
      <c r="BL66" s="83">
        <f t="shared" si="25"/>
        <v>0.2106746893624678</v>
      </c>
      <c r="BN66" s="82" t="s">
        <v>297</v>
      </c>
      <c r="BO66" s="83">
        <f t="shared" si="22"/>
        <v>1.1997549151858085</v>
      </c>
      <c r="BP66" s="83">
        <f t="shared" si="23"/>
        <v>0.28790948479238898</v>
      </c>
      <c r="BR66" s="82" t="s">
        <v>298</v>
      </c>
      <c r="BS66" s="83">
        <f t="shared" si="26"/>
        <v>1.880986067823248</v>
      </c>
      <c r="BT66" s="83">
        <f t="shared" si="27"/>
        <v>0.30335644387837246</v>
      </c>
    </row>
    <row r="67" spans="1:72">
      <c r="A67" s="75">
        <v>18</v>
      </c>
      <c r="B67" s="86">
        <f t="shared" si="28"/>
        <v>-0.77200000000000024</v>
      </c>
      <c r="C67" s="86">
        <f t="shared" si="38"/>
        <v>0.43866666666666676</v>
      </c>
      <c r="E67" s="86">
        <f t="shared" si="39"/>
        <v>-2.4039999999999995</v>
      </c>
      <c r="F67" s="86">
        <f t="shared" si="29"/>
        <v>-0.9119999999999997</v>
      </c>
      <c r="H67" s="86">
        <f t="shared" si="30"/>
        <v>-7.2000000000000064E-2</v>
      </c>
      <c r="I67" s="86">
        <f t="shared" si="31"/>
        <v>-0.36133333333333306</v>
      </c>
      <c r="K67" s="86">
        <f t="shared" si="32"/>
        <v>0.29600000000000026</v>
      </c>
      <c r="L67" s="86">
        <f t="shared" si="33"/>
        <v>-0.21199999999999974</v>
      </c>
      <c r="N67" s="86">
        <f t="shared" si="34"/>
        <v>1.8280000000000003</v>
      </c>
      <c r="O67" s="86">
        <f t="shared" si="35"/>
        <v>0.73866666666666658</v>
      </c>
      <c r="Q67" s="86">
        <f t="shared" si="36"/>
        <v>2.8960000000000008</v>
      </c>
      <c r="R67" s="86">
        <f t="shared" si="37"/>
        <v>0.98800000000000043</v>
      </c>
      <c r="T67" s="130"/>
      <c r="U67" s="82" t="s">
        <v>298</v>
      </c>
      <c r="V67" s="83">
        <f t="shared" si="40"/>
        <v>0.52800000000000047</v>
      </c>
      <c r="W67" s="83">
        <f t="shared" si="41"/>
        <v>-0.36133333333333306</v>
      </c>
      <c r="X67" s="83"/>
      <c r="Y67" s="83">
        <f t="shared" si="6"/>
        <v>0.27878400000000048</v>
      </c>
      <c r="Z67" s="83">
        <f t="shared" si="7"/>
        <v>-0.19078400000000004</v>
      </c>
      <c r="AA67" s="83">
        <f t="shared" si="8"/>
        <v>0.13056177777777758</v>
      </c>
      <c r="AC67" s="83">
        <f t="shared" si="42"/>
        <v>-0.1759999999999996</v>
      </c>
      <c r="AD67" s="83">
        <f t="shared" si="43"/>
        <v>-0.22799999999999984</v>
      </c>
      <c r="AE67" s="81"/>
      <c r="AF67" s="83">
        <f t="shared" si="11"/>
        <v>3.0975999999999861E-2</v>
      </c>
      <c r="AG67" s="83">
        <f t="shared" si="12"/>
        <v>4.0127999999999879E-2</v>
      </c>
      <c r="AH67" s="83">
        <f t="shared" si="13"/>
        <v>5.1983999999999926E-2</v>
      </c>
      <c r="AT67" s="82" t="s">
        <v>298</v>
      </c>
      <c r="AU67" s="83">
        <f t="shared" si="18"/>
        <v>0.32812358133333386</v>
      </c>
      <c r="AV67" s="83">
        <f t="shared" si="19"/>
        <v>-0.54925500399999994</v>
      </c>
      <c r="AX67" s="83">
        <f t="shared" si="20"/>
        <v>0.53797980492089381</v>
      </c>
      <c r="AY67" s="83">
        <f t="shared" si="21"/>
        <v>-2.0191015509949639</v>
      </c>
      <c r="BJ67" s="82" t="s">
        <v>296</v>
      </c>
      <c r="BK67" s="83">
        <f t="shared" si="24"/>
        <v>-3.0846441602678034</v>
      </c>
      <c r="BL67" s="83">
        <f t="shared" si="25"/>
        <v>0.27923500348271024</v>
      </c>
      <c r="BN67" s="82" t="s">
        <v>297</v>
      </c>
      <c r="BO67" s="83">
        <f t="shared" si="22"/>
        <v>1.5035845606932252</v>
      </c>
      <c r="BP67" s="83">
        <f t="shared" si="23"/>
        <v>-0.14757384032473242</v>
      </c>
      <c r="BR67" s="82" t="s">
        <v>298</v>
      </c>
      <c r="BS67" s="83">
        <f t="shared" si="26"/>
        <v>0.94579370606214663</v>
      </c>
      <c r="BT67" s="83">
        <f t="shared" si="27"/>
        <v>-1.1334416819371695</v>
      </c>
    </row>
    <row r="68" spans="1:72">
      <c r="A68" s="75">
        <v>19</v>
      </c>
      <c r="B68" s="86">
        <f t="shared" si="28"/>
        <v>-0.17199999999999971</v>
      </c>
      <c r="C68" s="86">
        <f t="shared" si="38"/>
        <v>0.73866666666666658</v>
      </c>
      <c r="E68" s="86">
        <f t="shared" si="39"/>
        <v>-2.1039999999999992</v>
      </c>
      <c r="F68" s="86">
        <f t="shared" si="29"/>
        <v>-0.9119999999999997</v>
      </c>
      <c r="H68" s="86">
        <f t="shared" si="30"/>
        <v>0.32800000000000029</v>
      </c>
      <c r="I68" s="86">
        <f t="shared" si="31"/>
        <v>-0.86133333333333306</v>
      </c>
      <c r="K68" s="86">
        <f t="shared" si="32"/>
        <v>0.69600000000000062</v>
      </c>
      <c r="L68" s="86">
        <f t="shared" si="33"/>
        <v>0.28800000000000026</v>
      </c>
      <c r="N68" s="86">
        <f t="shared" si="34"/>
        <v>1.8280000000000003</v>
      </c>
      <c r="O68" s="86">
        <f t="shared" si="35"/>
        <v>-0.46133333333333315</v>
      </c>
      <c r="Q68" s="86">
        <f t="shared" si="36"/>
        <v>3.096000000000001</v>
      </c>
      <c r="R68" s="86">
        <f t="shared" si="37"/>
        <v>1.0880000000000001</v>
      </c>
      <c r="T68" s="130"/>
      <c r="U68" s="82" t="s">
        <v>298</v>
      </c>
      <c r="V68" s="83">
        <f t="shared" si="40"/>
        <v>0.92799999999999994</v>
      </c>
      <c r="W68" s="83">
        <f t="shared" si="41"/>
        <v>-6.133333333333324E-2</v>
      </c>
      <c r="X68" s="83"/>
      <c r="Y68" s="83">
        <f t="shared" si="6"/>
        <v>0.86118399999999984</v>
      </c>
      <c r="Z68" s="83">
        <f t="shared" si="7"/>
        <v>-5.6917333333333243E-2</v>
      </c>
      <c r="AA68" s="83">
        <f t="shared" si="8"/>
        <v>3.7617777777777662E-3</v>
      </c>
      <c r="AC68" s="83">
        <f t="shared" si="42"/>
        <v>0.22399999999999987</v>
      </c>
      <c r="AD68" s="83">
        <f t="shared" si="43"/>
        <v>7.1999999999999981E-2</v>
      </c>
      <c r="AE68" s="81"/>
      <c r="AF68" s="83">
        <f t="shared" si="11"/>
        <v>5.0175999999999943E-2</v>
      </c>
      <c r="AG68" s="83">
        <f t="shared" si="12"/>
        <v>1.6127999999999986E-2</v>
      </c>
      <c r="AH68" s="83">
        <f t="shared" si="13"/>
        <v>5.1839999999999976E-3</v>
      </c>
      <c r="AT68" s="82" t="s">
        <v>298</v>
      </c>
      <c r="AU68" s="83">
        <f t="shared" si="18"/>
        <v>0.81699818133333335</v>
      </c>
      <c r="AV68" s="83">
        <f t="shared" si="19"/>
        <v>-0.44436530399999985</v>
      </c>
      <c r="AX68" s="83">
        <f t="shared" si="20"/>
        <v>1.3395212877672571</v>
      </c>
      <c r="AY68" s="83">
        <f t="shared" si="21"/>
        <v>-1.6335193452597994</v>
      </c>
    </row>
    <row r="69" spans="1:72">
      <c r="A69" s="75">
        <v>20</v>
      </c>
      <c r="B69" s="86">
        <f t="shared" si="28"/>
        <v>-0.77200000000000024</v>
      </c>
      <c r="C69" s="86">
        <f t="shared" si="38"/>
        <v>0.73866666666666658</v>
      </c>
      <c r="E69" s="86">
        <f t="shared" si="39"/>
        <v>-2.3039999999999994</v>
      </c>
      <c r="F69" s="86">
        <f t="shared" si="29"/>
        <v>-0.9119999999999997</v>
      </c>
      <c r="H69" s="86">
        <f t="shared" si="30"/>
        <v>-0.27200000000000024</v>
      </c>
      <c r="I69" s="86">
        <f t="shared" si="31"/>
        <v>-0.56133333333333324</v>
      </c>
      <c r="K69" s="86">
        <f t="shared" si="32"/>
        <v>9.6000000000000529E-2</v>
      </c>
      <c r="L69" s="86">
        <f t="shared" si="33"/>
        <v>-0.11199999999999966</v>
      </c>
      <c r="N69" s="86">
        <f t="shared" si="34"/>
        <v>0.12800000000000011</v>
      </c>
      <c r="O69" s="86">
        <f t="shared" si="35"/>
        <v>-0.86133333333333306</v>
      </c>
      <c r="Q69" s="86">
        <f t="shared" si="36"/>
        <v>1.1960000000000006</v>
      </c>
      <c r="R69" s="86">
        <f t="shared" si="37"/>
        <v>0.28800000000000026</v>
      </c>
      <c r="T69" s="130"/>
      <c r="U69" s="82" t="s">
        <v>298</v>
      </c>
      <c r="V69" s="83">
        <f t="shared" si="40"/>
        <v>-0.17199999999999971</v>
      </c>
      <c r="W69" s="83">
        <f t="shared" si="41"/>
        <v>-0.56133333333333324</v>
      </c>
      <c r="X69" s="83"/>
      <c r="Y69" s="83">
        <f t="shared" si="6"/>
        <v>2.9583999999999899E-2</v>
      </c>
      <c r="Z69" s="83">
        <f t="shared" si="7"/>
        <v>9.6549333333333154E-2</v>
      </c>
      <c r="AA69" s="83">
        <f t="shared" si="8"/>
        <v>0.31509511111111099</v>
      </c>
      <c r="AC69" s="83">
        <f t="shared" si="42"/>
        <v>-0.87599999999999978</v>
      </c>
      <c r="AD69" s="83">
        <f t="shared" si="43"/>
        <v>-0.42800000000000005</v>
      </c>
      <c r="AE69" s="81"/>
      <c r="AF69" s="83">
        <f t="shared" si="11"/>
        <v>0.76737599999999961</v>
      </c>
      <c r="AG69" s="83">
        <f t="shared" si="12"/>
        <v>0.37492799999999993</v>
      </c>
      <c r="AH69" s="83">
        <f t="shared" si="13"/>
        <v>0.18318400000000004</v>
      </c>
      <c r="AT69" s="82" t="s">
        <v>298</v>
      </c>
      <c r="AU69" s="83">
        <f t="shared" si="18"/>
        <v>-0.39128851866666636</v>
      </c>
      <c r="AV69" s="83">
        <f t="shared" si="19"/>
        <v>-0.43769020400000003</v>
      </c>
      <c r="AX69" s="83">
        <f t="shared" si="20"/>
        <v>-0.64154279946807835</v>
      </c>
      <c r="AY69" s="83">
        <f t="shared" si="21"/>
        <v>-1.6089811896401081</v>
      </c>
    </row>
    <row r="70" spans="1:72">
      <c r="A70" s="75">
        <v>21</v>
      </c>
      <c r="B70" s="86">
        <f t="shared" si="28"/>
        <v>-0.47199999999999953</v>
      </c>
      <c r="C70" s="86">
        <f t="shared" si="38"/>
        <v>0.33866666666666667</v>
      </c>
      <c r="E70" s="86">
        <f t="shared" si="39"/>
        <v>-2.1039999999999992</v>
      </c>
      <c r="F70" s="86">
        <f t="shared" si="29"/>
        <v>-1.0119999999999998</v>
      </c>
      <c r="H70" s="86">
        <f t="shared" si="30"/>
        <v>2.8000000000000469E-2</v>
      </c>
      <c r="I70" s="86">
        <f t="shared" si="31"/>
        <v>0.13866666666666694</v>
      </c>
      <c r="K70" s="86">
        <f t="shared" si="32"/>
        <v>0.99600000000000044</v>
      </c>
      <c r="L70" s="86">
        <f t="shared" si="33"/>
        <v>0.5880000000000003</v>
      </c>
      <c r="N70" s="86">
        <f t="shared" si="34"/>
        <v>1.0280000000000005</v>
      </c>
      <c r="O70" s="86">
        <f t="shared" si="35"/>
        <v>0.13866666666666694</v>
      </c>
      <c r="Q70" s="86">
        <f t="shared" si="36"/>
        <v>1.8960000000000008</v>
      </c>
      <c r="R70" s="86">
        <f t="shared" si="37"/>
        <v>1.0880000000000001</v>
      </c>
      <c r="T70" s="130"/>
      <c r="U70" s="82" t="s">
        <v>298</v>
      </c>
      <c r="V70" s="83">
        <f t="shared" si="40"/>
        <v>-7.2000000000000064E-2</v>
      </c>
      <c r="W70" s="83">
        <f t="shared" si="41"/>
        <v>-0.26133333333333342</v>
      </c>
      <c r="X70" s="83"/>
      <c r="Y70" s="83">
        <f t="shared" si="6"/>
        <v>5.1840000000000089E-3</v>
      </c>
      <c r="Z70" s="83">
        <f t="shared" si="7"/>
        <v>1.8816000000000024E-2</v>
      </c>
      <c r="AA70" s="83">
        <f t="shared" si="8"/>
        <v>6.8295111111111154E-2</v>
      </c>
      <c r="AC70" s="83">
        <f t="shared" si="42"/>
        <v>-0.77600000000000013</v>
      </c>
      <c r="AD70" s="83">
        <f t="shared" si="43"/>
        <v>-0.1280000000000002</v>
      </c>
      <c r="AE70" s="81"/>
      <c r="AF70" s="83">
        <f t="shared" si="11"/>
        <v>0.60217600000000016</v>
      </c>
      <c r="AG70" s="83">
        <f t="shared" si="12"/>
        <v>9.9328000000000166E-2</v>
      </c>
      <c r="AH70" s="83">
        <f t="shared" si="13"/>
        <v>1.6384000000000051E-2</v>
      </c>
      <c r="AT70" s="82" t="s">
        <v>298</v>
      </c>
      <c r="AU70" s="83">
        <f t="shared" ref="AU70:AU80" si="44">(V70*$AK$30)+(W70*$AK$31)</f>
        <v>-0.17483401866666676</v>
      </c>
      <c r="AV70" s="83">
        <f t="shared" ref="AV70:AV80" si="45">(V70*$AL$30)+(W70*$AL$31)</f>
        <v>-0.20715270400000005</v>
      </c>
      <c r="AX70" s="83">
        <f t="shared" ref="AX70:AX80" si="46">AU70*(1/$AK$36)</f>
        <v>-0.28665166603883485</v>
      </c>
      <c r="AY70" s="83">
        <f t="shared" ref="AY70:AY80" si="47">AV70*(1/$AL$36)</f>
        <v>-0.76150848493535217</v>
      </c>
    </row>
    <row r="71" spans="1:72">
      <c r="A71" s="75">
        <v>22</v>
      </c>
      <c r="B71" s="86">
        <f t="shared" si="28"/>
        <v>-0.77200000000000024</v>
      </c>
      <c r="C71" s="86">
        <f t="shared" si="38"/>
        <v>0.63866666666666694</v>
      </c>
      <c r="E71" s="86">
        <f t="shared" si="39"/>
        <v>-2.3039999999999994</v>
      </c>
      <c r="F71" s="86">
        <f t="shared" si="29"/>
        <v>-0.81199999999999972</v>
      </c>
      <c r="H71" s="86">
        <f t="shared" si="30"/>
        <v>0.22799999999999976</v>
      </c>
      <c r="I71" s="86">
        <f t="shared" si="31"/>
        <v>-0.26133333333333342</v>
      </c>
      <c r="K71" s="86">
        <f t="shared" si="32"/>
        <v>0.19600000000000062</v>
      </c>
      <c r="L71" s="86">
        <f t="shared" si="33"/>
        <v>8.80000000000003E-2</v>
      </c>
      <c r="N71" s="86">
        <f t="shared" si="34"/>
        <v>-0.27200000000000024</v>
      </c>
      <c r="O71" s="86">
        <f t="shared" si="35"/>
        <v>-0.26133333333333342</v>
      </c>
      <c r="Q71" s="86">
        <f t="shared" si="36"/>
        <v>1.096000000000001</v>
      </c>
      <c r="R71" s="86">
        <f t="shared" si="37"/>
        <v>0.78800000000000026</v>
      </c>
      <c r="T71" s="130"/>
      <c r="U71" s="82" t="s">
        <v>298</v>
      </c>
      <c r="V71" s="83">
        <f t="shared" si="40"/>
        <v>0.52800000000000047</v>
      </c>
      <c r="W71" s="83">
        <f t="shared" si="41"/>
        <v>0.13866666666666694</v>
      </c>
      <c r="X71" s="83"/>
      <c r="Y71" s="83">
        <f t="shared" ref="Y71:Y80" si="48">V71*V71</f>
        <v>0.27878400000000048</v>
      </c>
      <c r="Z71" s="83">
        <f t="shared" ref="Z71:Z80" si="49">V71*W71</f>
        <v>7.3216000000000211E-2</v>
      </c>
      <c r="AA71" s="83">
        <f t="shared" ref="AA71:AA80" si="50">W71*W71</f>
        <v>1.922844444444452E-2</v>
      </c>
      <c r="AC71" s="83">
        <f t="shared" si="42"/>
        <v>-0.1759999999999996</v>
      </c>
      <c r="AD71" s="83">
        <f t="shared" si="43"/>
        <v>0.27200000000000013</v>
      </c>
      <c r="AE71" s="81"/>
      <c r="AF71" s="83">
        <f t="shared" ref="AF71:AF80" si="51">AC71*AC71</f>
        <v>3.0975999999999861E-2</v>
      </c>
      <c r="AG71" s="83">
        <f t="shared" ref="AG71:AG80" si="52">AC71*AD71</f>
        <v>-4.7871999999999915E-2</v>
      </c>
      <c r="AH71" s="83">
        <f t="shared" ref="AH71:AH80" si="53">AD71*AD71</f>
        <v>7.3984000000000077E-2</v>
      </c>
      <c r="AT71" s="82" t="s">
        <v>298</v>
      </c>
      <c r="AU71" s="83">
        <f t="shared" si="44"/>
        <v>0.53753658133333382</v>
      </c>
      <c r="AV71" s="83">
        <f t="shared" si="45"/>
        <v>-9.5221503999999957E-2</v>
      </c>
      <c r="AX71" s="83">
        <f t="shared" si="46"/>
        <v>0.88132594429345612</v>
      </c>
      <c r="AY71" s="83">
        <f t="shared" si="47"/>
        <v>-0.35004121039281982</v>
      </c>
    </row>
    <row r="72" spans="1:72">
      <c r="A72" s="75">
        <v>23</v>
      </c>
      <c r="B72" s="86">
        <f t="shared" si="28"/>
        <v>-1.2720000000000002</v>
      </c>
      <c r="C72" s="86">
        <f t="shared" si="38"/>
        <v>0.53866666666666685</v>
      </c>
      <c r="E72" s="86">
        <f t="shared" si="39"/>
        <v>-2.8039999999999994</v>
      </c>
      <c r="F72" s="86">
        <f t="shared" si="29"/>
        <v>-1.0119999999999998</v>
      </c>
      <c r="H72" s="86">
        <f t="shared" si="30"/>
        <v>0.42799999999999994</v>
      </c>
      <c r="I72" s="86">
        <f t="shared" si="31"/>
        <v>-0.56133333333333324</v>
      </c>
      <c r="K72" s="86">
        <f t="shared" si="32"/>
        <v>1.096000000000001</v>
      </c>
      <c r="L72" s="86">
        <f t="shared" si="33"/>
        <v>0.28800000000000026</v>
      </c>
      <c r="N72" s="86">
        <f t="shared" si="34"/>
        <v>1.8280000000000003</v>
      </c>
      <c r="O72" s="86">
        <f t="shared" si="35"/>
        <v>-0.26133333333333342</v>
      </c>
      <c r="Q72" s="86">
        <f t="shared" si="36"/>
        <v>2.8960000000000008</v>
      </c>
      <c r="R72" s="86">
        <f t="shared" si="37"/>
        <v>0.78800000000000026</v>
      </c>
      <c r="T72" s="130"/>
      <c r="U72" s="82" t="s">
        <v>298</v>
      </c>
      <c r="V72" s="83">
        <f t="shared" si="40"/>
        <v>0.62800000000000011</v>
      </c>
      <c r="W72" s="83">
        <f t="shared" si="41"/>
        <v>-6.133333333333324E-2</v>
      </c>
      <c r="X72" s="83"/>
      <c r="Y72" s="83">
        <f t="shared" si="48"/>
        <v>0.39438400000000012</v>
      </c>
      <c r="Z72" s="83">
        <f t="shared" si="49"/>
        <v>-3.8517333333333278E-2</v>
      </c>
      <c r="AA72" s="83">
        <f t="shared" si="50"/>
        <v>3.7617777777777662E-3</v>
      </c>
      <c r="AC72" s="83">
        <f t="shared" si="42"/>
        <v>-7.5999999999999956E-2</v>
      </c>
      <c r="AD72" s="83">
        <f t="shared" si="43"/>
        <v>7.1999999999999981E-2</v>
      </c>
      <c r="AE72" s="81"/>
      <c r="AF72" s="83">
        <f t="shared" si="51"/>
        <v>5.7759999999999938E-3</v>
      </c>
      <c r="AG72" s="83">
        <f t="shared" si="52"/>
        <v>-5.4719999999999951E-3</v>
      </c>
      <c r="AH72" s="83">
        <f t="shared" si="53"/>
        <v>5.1839999999999976E-3</v>
      </c>
      <c r="AT72" s="82" t="s">
        <v>298</v>
      </c>
      <c r="AU72" s="83">
        <f t="shared" si="44"/>
        <v>0.54457808133333352</v>
      </c>
      <c r="AV72" s="83">
        <f t="shared" si="45"/>
        <v>-0.31871750399999993</v>
      </c>
      <c r="AX72" s="83">
        <f t="shared" si="46"/>
        <v>0.89287093835013731</v>
      </c>
      <c r="AY72" s="83">
        <f t="shared" si="47"/>
        <v>-1.171628846290208</v>
      </c>
      <c r="BJ72" s="75" t="s">
        <v>407</v>
      </c>
    </row>
    <row r="73" spans="1:72">
      <c r="A73" s="75">
        <v>24</v>
      </c>
      <c r="B73" s="86">
        <f t="shared" si="28"/>
        <v>-0.77200000000000024</v>
      </c>
      <c r="C73" s="86">
        <f t="shared" si="38"/>
        <v>0.23866666666666658</v>
      </c>
      <c r="E73" s="86">
        <f t="shared" si="39"/>
        <v>-2.1039999999999992</v>
      </c>
      <c r="F73" s="86">
        <f t="shared" si="29"/>
        <v>-0.71199999999999974</v>
      </c>
      <c r="H73" s="86">
        <f t="shared" si="30"/>
        <v>0.22799999999999976</v>
      </c>
      <c r="I73" s="86">
        <f t="shared" si="31"/>
        <v>-0.26133333333333342</v>
      </c>
      <c r="K73" s="86">
        <f t="shared" si="32"/>
        <v>0.8960000000000008</v>
      </c>
      <c r="L73" s="86">
        <f t="shared" si="33"/>
        <v>-1.1999999999999789E-2</v>
      </c>
      <c r="N73" s="86">
        <f t="shared" si="34"/>
        <v>0.42799999999999994</v>
      </c>
      <c r="O73" s="86">
        <f t="shared" si="35"/>
        <v>-0.36133333333333306</v>
      </c>
      <c r="Q73" s="86">
        <f t="shared" si="36"/>
        <v>1.096000000000001</v>
      </c>
      <c r="R73" s="86">
        <f t="shared" si="37"/>
        <v>0.5880000000000003</v>
      </c>
      <c r="T73" s="130"/>
      <c r="U73" s="82" t="s">
        <v>298</v>
      </c>
      <c r="V73" s="83">
        <f t="shared" si="40"/>
        <v>1.8280000000000003</v>
      </c>
      <c r="W73" s="83">
        <f t="shared" si="41"/>
        <v>0.73866666666666658</v>
      </c>
      <c r="X73" s="83"/>
      <c r="Y73" s="83">
        <f t="shared" si="48"/>
        <v>3.341584000000001</v>
      </c>
      <c r="Z73" s="83">
        <f t="shared" si="49"/>
        <v>1.3502826666666667</v>
      </c>
      <c r="AA73" s="83">
        <f t="shared" si="50"/>
        <v>0.54562844444444436</v>
      </c>
      <c r="AC73" s="83">
        <f t="shared" si="42"/>
        <v>1.1240000000000001</v>
      </c>
      <c r="AD73" s="83">
        <f t="shared" si="43"/>
        <v>0.87199999999999978</v>
      </c>
      <c r="AE73" s="81"/>
      <c r="AF73" s="83">
        <f t="shared" si="51"/>
        <v>1.2633760000000003</v>
      </c>
      <c r="AG73" s="83">
        <f t="shared" si="52"/>
        <v>0.98012799999999989</v>
      </c>
      <c r="AH73" s="83">
        <f t="shared" si="53"/>
        <v>0.76038399999999962</v>
      </c>
      <c r="AT73" s="82" t="s">
        <v>298</v>
      </c>
      <c r="AU73" s="83">
        <f t="shared" si="44"/>
        <v>1.9693192813333336</v>
      </c>
      <c r="AV73" s="83">
        <f t="shared" si="45"/>
        <v>-9.485510400000019E-2</v>
      </c>
      <c r="AX73" s="83">
        <f t="shared" si="46"/>
        <v>3.2288261590147176</v>
      </c>
      <c r="AY73" s="83">
        <f t="shared" si="47"/>
        <v>-0.34869429720514483</v>
      </c>
    </row>
    <row r="74" spans="1:72">
      <c r="A74" s="75">
        <v>25</v>
      </c>
      <c r="B74" s="86">
        <f t="shared" si="28"/>
        <v>-1.0720000000000001</v>
      </c>
      <c r="C74" s="86">
        <f t="shared" si="38"/>
        <v>0.33866666666666667</v>
      </c>
      <c r="E74" s="86">
        <f t="shared" si="39"/>
        <v>-1.9039999999999995</v>
      </c>
      <c r="F74" s="86">
        <f t="shared" si="29"/>
        <v>-1.0119999999999998</v>
      </c>
      <c r="H74" s="86">
        <f t="shared" si="30"/>
        <v>0.52800000000000047</v>
      </c>
      <c r="I74" s="86">
        <f t="shared" si="31"/>
        <v>-0.16133333333333333</v>
      </c>
      <c r="K74" s="86">
        <f t="shared" si="32"/>
        <v>0.49600000000000044</v>
      </c>
      <c r="L74" s="86">
        <f t="shared" si="33"/>
        <v>8.80000000000003E-2</v>
      </c>
      <c r="N74" s="86">
        <f t="shared" si="34"/>
        <v>0.82800000000000029</v>
      </c>
      <c r="O74" s="86">
        <f t="shared" si="35"/>
        <v>0.23866666666666658</v>
      </c>
      <c r="Q74" s="86">
        <f t="shared" si="36"/>
        <v>1.8960000000000008</v>
      </c>
      <c r="R74" s="86">
        <f t="shared" si="37"/>
        <v>0.88800000000000034</v>
      </c>
      <c r="T74" s="130"/>
      <c r="U74" s="82" t="s">
        <v>298</v>
      </c>
      <c r="V74" s="83">
        <f t="shared" si="40"/>
        <v>1.8280000000000003</v>
      </c>
      <c r="W74" s="83">
        <f t="shared" si="41"/>
        <v>-0.46133333333333315</v>
      </c>
      <c r="X74" s="83"/>
      <c r="Y74" s="83">
        <f t="shared" si="48"/>
        <v>3.341584000000001</v>
      </c>
      <c r="Z74" s="83">
        <f t="shared" si="49"/>
        <v>-0.84331733333333314</v>
      </c>
      <c r="AA74" s="83">
        <f t="shared" si="50"/>
        <v>0.21282844444444426</v>
      </c>
      <c r="AC74" s="83">
        <f t="shared" si="42"/>
        <v>1.1240000000000001</v>
      </c>
      <c r="AD74" s="83">
        <f t="shared" si="43"/>
        <v>-0.32799999999999996</v>
      </c>
      <c r="AE74" s="81"/>
      <c r="AF74" s="83">
        <f t="shared" si="51"/>
        <v>1.2633760000000003</v>
      </c>
      <c r="AG74" s="83">
        <f t="shared" si="52"/>
        <v>-0.368672</v>
      </c>
      <c r="AH74" s="83">
        <f t="shared" si="53"/>
        <v>0.10758399999999997</v>
      </c>
      <c r="AT74" s="82" t="s">
        <v>298</v>
      </c>
      <c r="AU74" s="83">
        <f t="shared" si="44"/>
        <v>1.4667280813333337</v>
      </c>
      <c r="AV74" s="83">
        <f t="shared" si="45"/>
        <v>-1.1845355039999999</v>
      </c>
      <c r="AX74" s="83">
        <f t="shared" si="46"/>
        <v>2.404795424520568</v>
      </c>
      <c r="AY74" s="83">
        <f t="shared" si="47"/>
        <v>-4.3544391146502894</v>
      </c>
    </row>
    <row r="75" spans="1:72">
      <c r="T75" s="130"/>
      <c r="U75" s="82" t="s">
        <v>298</v>
      </c>
      <c r="V75" s="83">
        <f t="shared" si="40"/>
        <v>0.12800000000000011</v>
      </c>
      <c r="W75" s="83">
        <f t="shared" si="41"/>
        <v>-0.86133333333333306</v>
      </c>
      <c r="X75" s="83"/>
      <c r="Y75" s="83">
        <f t="shared" si="48"/>
        <v>1.638400000000003E-2</v>
      </c>
      <c r="Z75" s="83">
        <f t="shared" si="49"/>
        <v>-0.11025066666666673</v>
      </c>
      <c r="AA75" s="83">
        <f t="shared" si="50"/>
        <v>0.74189511111111062</v>
      </c>
      <c r="AC75" s="83">
        <f t="shared" si="42"/>
        <v>-0.57599999999999996</v>
      </c>
      <c r="AD75" s="83">
        <f t="shared" si="43"/>
        <v>-0.72799999999999987</v>
      </c>
      <c r="AE75" s="81"/>
      <c r="AF75" s="83">
        <f t="shared" si="51"/>
        <v>0.33177599999999996</v>
      </c>
      <c r="AG75" s="83">
        <f t="shared" si="52"/>
        <v>0.41932799999999987</v>
      </c>
      <c r="AH75" s="83">
        <f t="shared" si="53"/>
        <v>0.52998399999999979</v>
      </c>
      <c r="AT75" s="82" t="s">
        <v>298</v>
      </c>
      <c r="AU75" s="83">
        <f t="shared" si="44"/>
        <v>-0.24451621866666645</v>
      </c>
      <c r="AV75" s="83">
        <f t="shared" si="45"/>
        <v>-0.83575810399999984</v>
      </c>
      <c r="AX75" s="83">
        <f t="shared" si="46"/>
        <v>-0.40090013367449578</v>
      </c>
      <c r="AY75" s="83">
        <f t="shared" si="47"/>
        <v>-3.0723078929709855</v>
      </c>
    </row>
    <row r="76" spans="1:72">
      <c r="T76" s="130"/>
      <c r="U76" s="82" t="s">
        <v>298</v>
      </c>
      <c r="V76" s="83">
        <f t="shared" si="40"/>
        <v>1.0280000000000005</v>
      </c>
      <c r="W76" s="83">
        <f t="shared" si="41"/>
        <v>0.13866666666666694</v>
      </c>
      <c r="X76" s="83"/>
      <c r="Y76" s="83">
        <f t="shared" si="48"/>
        <v>1.0567840000000011</v>
      </c>
      <c r="Z76" s="83">
        <f t="shared" si="49"/>
        <v>0.14254933333333367</v>
      </c>
      <c r="AA76" s="83">
        <f t="shared" si="50"/>
        <v>1.922844444444452E-2</v>
      </c>
      <c r="AC76" s="83">
        <f t="shared" si="42"/>
        <v>0.3240000000000004</v>
      </c>
      <c r="AD76" s="83">
        <f t="shared" si="43"/>
        <v>0.27200000000000013</v>
      </c>
      <c r="AE76" s="81"/>
      <c r="AF76" s="83">
        <f t="shared" si="51"/>
        <v>0.10497600000000026</v>
      </c>
      <c r="AG76" s="83">
        <f t="shared" si="52"/>
        <v>8.8128000000000151E-2</v>
      </c>
      <c r="AH76" s="83">
        <f t="shared" si="53"/>
        <v>7.3984000000000077E-2</v>
      </c>
      <c r="AT76" s="82" t="s">
        <v>298</v>
      </c>
      <c r="AU76" s="83">
        <f t="shared" si="44"/>
        <v>0.99157008133333391</v>
      </c>
      <c r="AV76" s="83">
        <f t="shared" si="45"/>
        <v>-0.30463450399999992</v>
      </c>
      <c r="AX76" s="83">
        <f t="shared" si="46"/>
        <v>1.6257431933219897</v>
      </c>
      <c r="AY76" s="83">
        <f t="shared" si="47"/>
        <v>-1.1198587086754725</v>
      </c>
    </row>
    <row r="77" spans="1:72">
      <c r="A77" s="6" t="s">
        <v>185</v>
      </c>
      <c r="B77" s="95">
        <f>SUM(B50:B74)</f>
        <v>-21.099999999999991</v>
      </c>
      <c r="C77" s="95">
        <f>SUM(C50:C74)</f>
        <v>10.46666666666667</v>
      </c>
      <c r="D77" s="95"/>
      <c r="E77" s="95">
        <f>SUM(E50:E74)</f>
        <v>-58.599999999999987</v>
      </c>
      <c r="F77" s="95">
        <f>SUM(F50:F74)</f>
        <v>-24.099999999999998</v>
      </c>
      <c r="G77" s="86"/>
      <c r="H77" s="95">
        <f>SUM(H50:H74)</f>
        <v>3.5000000000000027</v>
      </c>
      <c r="I77" s="95">
        <f>SUM(I50:I74)</f>
        <v>-7.1333333333333293</v>
      </c>
      <c r="J77" s="95"/>
      <c r="K77" s="95">
        <f>SUM(K50:K74)</f>
        <v>12.700000000000015</v>
      </c>
      <c r="L77" s="95">
        <f>SUM(L50:L74)</f>
        <v>3.300000000000006</v>
      </c>
      <c r="M77" s="87"/>
      <c r="N77" s="95">
        <f>SUM(N50:N74)</f>
        <v>17.600000000000001</v>
      </c>
      <c r="O77" s="95">
        <f>SUM(O50:O74)</f>
        <v>-3.3333333333333308</v>
      </c>
      <c r="P77" s="95"/>
      <c r="Q77" s="95">
        <f>SUM(Q50:Q74)</f>
        <v>45.90000000000002</v>
      </c>
      <c r="R77" s="95">
        <f>SUM(R50:R74)</f>
        <v>20.800000000000008</v>
      </c>
      <c r="T77" s="130"/>
      <c r="U77" s="82" t="s">
        <v>298</v>
      </c>
      <c r="V77" s="83">
        <f>N71</f>
        <v>-0.27200000000000024</v>
      </c>
      <c r="W77" s="83">
        <f t="shared" si="41"/>
        <v>-0.26133333333333342</v>
      </c>
      <c r="X77" s="83"/>
      <c r="Y77" s="83">
        <f t="shared" si="48"/>
        <v>7.3984000000000133E-2</v>
      </c>
      <c r="Z77" s="83">
        <f t="shared" si="49"/>
        <v>7.1082666666666752E-2</v>
      </c>
      <c r="AA77" s="83">
        <f t="shared" si="50"/>
        <v>6.8295111111111154E-2</v>
      </c>
      <c r="AC77" s="83">
        <f t="shared" si="42"/>
        <v>-0.97600000000000031</v>
      </c>
      <c r="AD77" s="83">
        <f t="shared" si="43"/>
        <v>-0.1280000000000002</v>
      </c>
      <c r="AE77" s="81"/>
      <c r="AF77" s="83">
        <f t="shared" si="51"/>
        <v>0.95257600000000064</v>
      </c>
      <c r="AG77" s="83">
        <f t="shared" si="52"/>
        <v>0.12492800000000023</v>
      </c>
      <c r="AH77" s="83">
        <f t="shared" si="53"/>
        <v>1.6384000000000051E-2</v>
      </c>
      <c r="AT77" s="82" t="s">
        <v>298</v>
      </c>
      <c r="AU77" s="83">
        <f t="shared" si="44"/>
        <v>-0.3564474186666669</v>
      </c>
      <c r="AV77" s="83">
        <f t="shared" si="45"/>
        <v>-0.12338750399999997</v>
      </c>
      <c r="AX77" s="83">
        <f t="shared" si="46"/>
        <v>-0.58441856565024852</v>
      </c>
      <c r="AY77" s="83">
        <f t="shared" si="47"/>
        <v>-0.45358148562229084</v>
      </c>
    </row>
    <row r="78" spans="1:72">
      <c r="A78" s="75" t="s">
        <v>155</v>
      </c>
      <c r="B78" s="140">
        <f>COUNT(B50:B74)</f>
        <v>25</v>
      </c>
      <c r="C78" s="140">
        <f>COUNT(C50:C74)</f>
        <v>25</v>
      </c>
      <c r="D78" s="140"/>
      <c r="E78" s="140">
        <f>COUNT(E50:E74)</f>
        <v>25</v>
      </c>
      <c r="F78" s="140">
        <f>COUNT(F50:F74)</f>
        <v>25</v>
      </c>
      <c r="G78" s="140"/>
      <c r="H78" s="140">
        <f>COUNT(H50:H74)</f>
        <v>25</v>
      </c>
      <c r="I78" s="140">
        <f>COUNT(I50:I74)</f>
        <v>25</v>
      </c>
      <c r="J78" s="140"/>
      <c r="K78" s="140">
        <f>COUNT(K50:K74)</f>
        <v>25</v>
      </c>
      <c r="L78" s="140">
        <f>COUNT(L50:L74)</f>
        <v>25</v>
      </c>
      <c r="M78" s="140"/>
      <c r="N78" s="140">
        <f>COUNT(N50:N74)</f>
        <v>25</v>
      </c>
      <c r="O78" s="140">
        <f>COUNT(O50:O74)</f>
        <v>25</v>
      </c>
      <c r="P78" s="140"/>
      <c r="Q78" s="140">
        <f>COUNT(Q50:Q74)</f>
        <v>25</v>
      </c>
      <c r="R78" s="140">
        <f>COUNT(R50:R74)</f>
        <v>25</v>
      </c>
      <c r="T78" s="130"/>
      <c r="U78" s="82" t="s">
        <v>298</v>
      </c>
      <c r="V78" s="83">
        <f t="shared" si="40"/>
        <v>1.8280000000000003</v>
      </c>
      <c r="W78" s="83">
        <f t="shared" si="41"/>
        <v>-0.26133333333333342</v>
      </c>
      <c r="X78" s="83"/>
      <c r="Y78" s="83">
        <f t="shared" si="48"/>
        <v>3.341584000000001</v>
      </c>
      <c r="Z78" s="83">
        <f t="shared" si="49"/>
        <v>-0.47771733333333355</v>
      </c>
      <c r="AA78" s="83">
        <f t="shared" si="50"/>
        <v>6.8295111111111154E-2</v>
      </c>
      <c r="AC78" s="83">
        <f t="shared" si="42"/>
        <v>1.1240000000000001</v>
      </c>
      <c r="AD78" s="83">
        <f t="shared" si="43"/>
        <v>-0.1280000000000002</v>
      </c>
      <c r="AE78" s="81"/>
      <c r="AF78" s="83">
        <f t="shared" si="51"/>
        <v>1.2633760000000003</v>
      </c>
      <c r="AG78" s="83">
        <f t="shared" si="52"/>
        <v>-0.14387200000000022</v>
      </c>
      <c r="AH78" s="83">
        <f t="shared" si="53"/>
        <v>1.6384000000000051E-2</v>
      </c>
      <c r="AT78" s="82" t="s">
        <v>298</v>
      </c>
      <c r="AU78" s="83">
        <f t="shared" si="44"/>
        <v>1.5504932813333334</v>
      </c>
      <c r="AV78" s="83">
        <f t="shared" si="45"/>
        <v>-1.002922104</v>
      </c>
      <c r="AX78" s="83">
        <f t="shared" si="46"/>
        <v>2.5421338802695925</v>
      </c>
      <c r="AY78" s="83">
        <f t="shared" si="47"/>
        <v>-3.6868149784094326</v>
      </c>
    </row>
    <row r="79" spans="1:72">
      <c r="A79" s="75" t="s">
        <v>51</v>
      </c>
      <c r="B79" s="95">
        <f>MIN(B50:B74)</f>
        <v>-1.5720000000000001</v>
      </c>
      <c r="C79" s="95">
        <f>MIN(C50:C74)</f>
        <v>-0.16133333333333333</v>
      </c>
      <c r="D79" s="95"/>
      <c r="E79" s="95">
        <f>MIN(E50:E74)</f>
        <v>-2.8039999999999994</v>
      </c>
      <c r="F79" s="95">
        <f>MIN(F50:F74)</f>
        <v>-1.1119999999999997</v>
      </c>
      <c r="G79" s="86"/>
      <c r="H79" s="95">
        <f>MIN(H50:H74)</f>
        <v>-0.97199999999999953</v>
      </c>
      <c r="I79" s="95">
        <f>MIN(I50:I74)</f>
        <v>-1.0613333333333332</v>
      </c>
      <c r="J79" s="95"/>
      <c r="K79" s="95">
        <f>MIN(K50:K74)</f>
        <v>-0.50399999999999956</v>
      </c>
      <c r="L79" s="95">
        <f>MIN(L50:L74)</f>
        <v>-0.21199999999999974</v>
      </c>
      <c r="M79" s="87"/>
      <c r="N79" s="95">
        <f>MIN(N50:N74)</f>
        <v>-0.97199999999999953</v>
      </c>
      <c r="O79" s="95">
        <f>MIN(O50:O74)</f>
        <v>-0.86133333333333306</v>
      </c>
      <c r="P79" s="95"/>
      <c r="Q79" s="95">
        <f>MIN(Q50:Q74)</f>
        <v>0.69600000000000062</v>
      </c>
      <c r="R79" s="95">
        <f>MIN(R50:R74)</f>
        <v>0.28800000000000026</v>
      </c>
      <c r="T79" s="130"/>
      <c r="U79" s="82" t="s">
        <v>298</v>
      </c>
      <c r="V79" s="83">
        <f t="shared" si="40"/>
        <v>0.42799999999999994</v>
      </c>
      <c r="W79" s="83">
        <f t="shared" si="41"/>
        <v>-0.36133333333333306</v>
      </c>
      <c r="X79" s="83"/>
      <c r="Y79" s="83">
        <f t="shared" si="48"/>
        <v>0.18318399999999996</v>
      </c>
      <c r="Z79" s="83">
        <f t="shared" si="49"/>
        <v>-0.15465066666666652</v>
      </c>
      <c r="AA79" s="83">
        <f t="shared" si="50"/>
        <v>0.13056177777777758</v>
      </c>
      <c r="AC79" s="83">
        <f t="shared" si="42"/>
        <v>-0.27600000000000013</v>
      </c>
      <c r="AD79" s="83">
        <f t="shared" si="43"/>
        <v>-0.22799999999999984</v>
      </c>
      <c r="AE79" s="81"/>
      <c r="AF79" s="83">
        <f t="shared" si="51"/>
        <v>7.6176000000000077E-2</v>
      </c>
      <c r="AG79" s="83">
        <f t="shared" si="52"/>
        <v>6.2927999999999984E-2</v>
      </c>
      <c r="AH79" s="83">
        <f t="shared" si="53"/>
        <v>5.1983999999999926E-2</v>
      </c>
      <c r="AT79" s="82" t="s">
        <v>298</v>
      </c>
      <c r="AU79" s="83">
        <f t="shared" si="44"/>
        <v>0.23731688133333337</v>
      </c>
      <c r="AV79" s="83">
        <f t="shared" si="45"/>
        <v>-0.50737240399999972</v>
      </c>
      <c r="AX79" s="83">
        <f t="shared" si="46"/>
        <v>0.38909635511518631</v>
      </c>
      <c r="AY79" s="83">
        <f t="shared" si="47"/>
        <v>-1.8651380513384326</v>
      </c>
    </row>
    <row r="80" spans="1:72">
      <c r="A80" s="75" t="s">
        <v>53</v>
      </c>
      <c r="B80" s="95">
        <f>MAX(B50:B74)</f>
        <v>-7.2000000000000064E-2</v>
      </c>
      <c r="C80" s="95">
        <f>MAX(C50:C74)</f>
        <v>1.3386666666666671</v>
      </c>
      <c r="D80" s="95"/>
      <c r="E80" s="95">
        <f>MAX(E50:E74)</f>
        <v>-1.9039999999999995</v>
      </c>
      <c r="F80" s="95">
        <f>MAX(F50:F74)</f>
        <v>-0.71199999999999974</v>
      </c>
      <c r="G80" s="86"/>
      <c r="H80" s="95">
        <f>MAX(H50:H74)</f>
        <v>1.1280000000000001</v>
      </c>
      <c r="I80" s="95">
        <f>MAX(I50:I74)</f>
        <v>0.23866666666666658</v>
      </c>
      <c r="J80" s="95"/>
      <c r="K80" s="95">
        <f>MAX(K50:K74)</f>
        <v>1.096000000000001</v>
      </c>
      <c r="L80" s="95">
        <f>MAX(L50:L74)</f>
        <v>0.5880000000000003</v>
      </c>
      <c r="M80" s="87"/>
      <c r="N80" s="95">
        <f>MAX(N50:N74)</f>
        <v>1.8280000000000003</v>
      </c>
      <c r="O80" s="95">
        <f>MAX(O50:O74)</f>
        <v>0.73866666666666658</v>
      </c>
      <c r="P80" s="95"/>
      <c r="Q80" s="95">
        <f>MAX(Q50:Q74)</f>
        <v>3.096000000000001</v>
      </c>
      <c r="R80" s="95">
        <f>MAX(R50:R74)</f>
        <v>1.2880000000000003</v>
      </c>
      <c r="T80" s="130"/>
      <c r="U80" s="82" t="s">
        <v>298</v>
      </c>
      <c r="V80" s="83">
        <f t="shared" si="40"/>
        <v>0.82800000000000029</v>
      </c>
      <c r="W80" s="83">
        <f t="shared" si="41"/>
        <v>0.23866666666666658</v>
      </c>
      <c r="X80" s="83"/>
      <c r="Y80" s="83">
        <f t="shared" si="48"/>
        <v>0.68558400000000053</v>
      </c>
      <c r="Z80" s="83">
        <f t="shared" si="49"/>
        <v>0.19761599999999999</v>
      </c>
      <c r="AA80" s="83">
        <f t="shared" si="50"/>
        <v>5.6961777777777736E-2</v>
      </c>
      <c r="AC80" s="83">
        <f t="shared" si="42"/>
        <v>0.12400000000000022</v>
      </c>
      <c r="AD80" s="83">
        <f t="shared" si="43"/>
        <v>0.37199999999999978</v>
      </c>
      <c r="AE80" s="81"/>
      <c r="AF80" s="83">
        <f t="shared" si="51"/>
        <v>1.5376000000000055E-2</v>
      </c>
      <c r="AG80" s="83">
        <f t="shared" si="52"/>
        <v>4.6128000000000058E-2</v>
      </c>
      <c r="AH80" s="83">
        <f t="shared" si="53"/>
        <v>0.13838399999999984</v>
      </c>
      <c r="AT80" s="82" t="s">
        <v>298</v>
      </c>
      <c r="AU80" s="83">
        <f t="shared" si="44"/>
        <v>0.85183928133333353</v>
      </c>
      <c r="AV80" s="83">
        <f t="shared" si="45"/>
        <v>-0.13006260400000016</v>
      </c>
      <c r="AX80" s="83">
        <f t="shared" si="46"/>
        <v>1.3966455215850881</v>
      </c>
      <c r="AY80" s="83">
        <f t="shared" si="47"/>
        <v>-0.47811964124198342</v>
      </c>
    </row>
    <row r="81" spans="1:72">
      <c r="A81" s="75" t="s">
        <v>178</v>
      </c>
      <c r="B81" s="95">
        <f>AVERAGE(B50:B74)</f>
        <v>-0.84399999999999964</v>
      </c>
      <c r="C81" s="95">
        <f>AVERAGE(C50:C74)</f>
        <v>0.4186666666666668</v>
      </c>
      <c r="D81" s="95"/>
      <c r="E81" s="95">
        <f>AVERAGE(E50:E74)</f>
        <v>-2.3439999999999994</v>
      </c>
      <c r="F81" s="95">
        <f>AVERAGE(F50:F74)</f>
        <v>-0.96399999999999997</v>
      </c>
      <c r="G81" s="86"/>
      <c r="H81" s="95">
        <f>AVERAGE(H50:H74)</f>
        <v>0.1400000000000001</v>
      </c>
      <c r="I81" s="95">
        <f>AVERAGE(I50:I74)</f>
        <v>-0.28533333333333316</v>
      </c>
      <c r="J81" s="95"/>
      <c r="K81" s="95">
        <f>AVERAGE(K50:K74)</f>
        <v>0.50800000000000056</v>
      </c>
      <c r="L81" s="95">
        <f>AVERAGE(L50:L74)</f>
        <v>0.13200000000000023</v>
      </c>
      <c r="M81" s="87"/>
      <c r="N81" s="95">
        <f>AVERAGE(N50:N74)</f>
        <v>0.70400000000000007</v>
      </c>
      <c r="O81" s="95">
        <f>AVERAGE(O50:O74)</f>
        <v>-0.13333333333333322</v>
      </c>
      <c r="P81" s="95"/>
      <c r="Q81" s="95">
        <f>AVERAGE(Q50:Q74)</f>
        <v>1.8360000000000007</v>
      </c>
      <c r="R81" s="95">
        <f>AVERAGE(R50:R74)</f>
        <v>0.83200000000000029</v>
      </c>
      <c r="T81" s="130"/>
      <c r="V81" s="86"/>
      <c r="AF81" s="86"/>
      <c r="AG81" s="86"/>
      <c r="AH81" s="86"/>
      <c r="AU81" s="83"/>
      <c r="AV81" s="83"/>
    </row>
    <row r="82" spans="1:72">
      <c r="A82" s="75" t="s">
        <v>161</v>
      </c>
      <c r="B82" s="95">
        <f>MEDIAN(B50:B74)</f>
        <v>-0.87199999999999989</v>
      </c>
      <c r="C82" s="95">
        <f>MEDIAN(C50:C74)</f>
        <v>0.33866666666666667</v>
      </c>
      <c r="D82" s="95"/>
      <c r="E82" s="95">
        <f>MEDIAN(E50:E74)</f>
        <v>-2.3039999999999994</v>
      </c>
      <c r="F82" s="95">
        <f>MEDIAN(F50:F74)</f>
        <v>-1.0119999999999998</v>
      </c>
      <c r="G82" s="86"/>
      <c r="H82" s="95">
        <f>MEDIAN(H50:H74)</f>
        <v>0.22799999999999976</v>
      </c>
      <c r="I82" s="95">
        <f>MEDIAN(I50:I74)</f>
        <v>-0.26133333333333342</v>
      </c>
      <c r="J82" s="95"/>
      <c r="K82" s="95">
        <f>MEDIAN(K50:K74)</f>
        <v>0.69600000000000062</v>
      </c>
      <c r="L82" s="95">
        <f>MEDIAN(L50:L74)</f>
        <v>0.18800000000000017</v>
      </c>
      <c r="M82" s="87"/>
      <c r="N82" s="95">
        <f>MEDIAN(N50:N74)</f>
        <v>0.62800000000000011</v>
      </c>
      <c r="O82" s="95">
        <f>MEDIAN(O50:O74)</f>
        <v>-0.16133333333333333</v>
      </c>
      <c r="P82" s="95"/>
      <c r="Q82" s="95">
        <f>MEDIAN(Q50:Q74)</f>
        <v>1.7960000000000003</v>
      </c>
      <c r="R82" s="95">
        <f>MEDIAN(R50:R74)</f>
        <v>0.78800000000000026</v>
      </c>
      <c r="T82" s="130"/>
      <c r="V82" s="86"/>
      <c r="X82" s="101" t="s">
        <v>185</v>
      </c>
      <c r="Y82" s="83">
        <f>SUM(Y6:Y80)</f>
        <v>54.331200000000003</v>
      </c>
      <c r="Z82" s="83">
        <f>SUM(Z6:Z80)</f>
        <v>-3.8011999999999979</v>
      </c>
      <c r="AA82" s="83">
        <f>SUM(AA6:AA80)</f>
        <v>16.237866666666658</v>
      </c>
      <c r="AE82" s="101" t="s">
        <v>185</v>
      </c>
      <c r="AF82" s="83">
        <f>SUM(AF6:AF80)</f>
        <v>23.642400000000002</v>
      </c>
      <c r="AG82" s="83">
        <f>SUM(AG6:AG80)</f>
        <v>8.3779999999999983</v>
      </c>
      <c r="AH82" s="83">
        <f>SUM(AH6:AH80)</f>
        <v>9.3759999999999977</v>
      </c>
      <c r="AU82" s="83"/>
      <c r="AV82" s="83"/>
      <c r="AX82" s="83"/>
      <c r="AY82" s="83"/>
    </row>
    <row r="83" spans="1:72">
      <c r="A83" s="75" t="s">
        <v>330</v>
      </c>
      <c r="B83" s="95">
        <f>VAR(B50:B74)</f>
        <v>0.16043333333333409</v>
      </c>
      <c r="C83" s="95">
        <f>VAR(C50:C74)</f>
        <v>0.13583333333333328</v>
      </c>
      <c r="D83" s="95"/>
      <c r="E83" s="95">
        <f>VAR(E50:E74)</f>
        <v>3.9166666666666683E-2</v>
      </c>
      <c r="F83" s="95">
        <f>VAR(F50:F74)</f>
        <v>1.0933333333333165E-2</v>
      </c>
      <c r="G83" s="86"/>
      <c r="H83" s="95">
        <f>VAR(H50:H74)</f>
        <v>0.30026666666666674</v>
      </c>
      <c r="I83" s="95">
        <f>VAR(I50:I74)</f>
        <v>0.12440000000000008</v>
      </c>
      <c r="J83" s="95"/>
      <c r="K83" s="95">
        <f>VAR(K50:K74)</f>
        <v>0.19693333333333352</v>
      </c>
      <c r="L83" s="95">
        <f>VAR(L50:L74)</f>
        <v>4.2566666666666648E-2</v>
      </c>
      <c r="M83" s="87"/>
      <c r="N83" s="95">
        <f>VAR(N50:N74)</f>
        <v>0.5244000000000002</v>
      </c>
      <c r="O83" s="95">
        <f>VAR(O50:O74)</f>
        <v>0.13043333333333329</v>
      </c>
      <c r="P83" s="95"/>
      <c r="Q83" s="95">
        <f>VAR(Q50:Q74)</f>
        <v>0.41749999999999982</v>
      </c>
      <c r="R83" s="95">
        <f>VAR(R50:R74)</f>
        <v>6.5066666666666759E-2</v>
      </c>
      <c r="T83" s="130"/>
      <c r="X83" s="106" t="s">
        <v>313</v>
      </c>
      <c r="Y83" s="83">
        <f>Y82/((SUM(B78,H78,N78))-3)</f>
        <v>0.75460000000000005</v>
      </c>
      <c r="Z83" s="83">
        <f>Z82/((SUM(B78,H78,N78))-3)</f>
        <v>-5.2794444444444415E-2</v>
      </c>
      <c r="AA83" s="83">
        <f>AA82/((SUM(C78,I78,O78))-3)</f>
        <v>0.2255259259259258</v>
      </c>
      <c r="AE83" s="106" t="s">
        <v>313</v>
      </c>
      <c r="AF83" s="83">
        <f>AF82/(75-3)</f>
        <v>0.3283666666666667</v>
      </c>
      <c r="AG83" s="83">
        <f>AG82/(75-3)</f>
        <v>0.11636111111111108</v>
      </c>
      <c r="AH83" s="83">
        <f>AH82/(75-3)</f>
        <v>0.13022222222222218</v>
      </c>
      <c r="AU83" s="83"/>
      <c r="AV83" s="83"/>
      <c r="AX83" s="83"/>
      <c r="AY83" s="83"/>
    </row>
    <row r="84" spans="1:72">
      <c r="A84" s="96" t="s">
        <v>184</v>
      </c>
      <c r="B84" s="139">
        <f>STDEV(B50:B74)</f>
        <v>0.40054130040900165</v>
      </c>
      <c r="C84" s="139">
        <f>STDEV(C50:C74)</f>
        <v>0.36855573979159961</v>
      </c>
      <c r="D84" s="139"/>
      <c r="E84" s="139">
        <f>STDEV(E50:E74)</f>
        <v>0.19790570145063199</v>
      </c>
      <c r="F84" s="139">
        <f>STDEV(F50:F74)</f>
        <v>0.10456258094238667</v>
      </c>
      <c r="G84" s="86"/>
      <c r="H84" s="139">
        <f>STDEV(H50:H74)</f>
        <v>0.54796593568092056</v>
      </c>
      <c r="I84" s="139">
        <f>STDEV(I50:I74)</f>
        <v>0.35270384177096809</v>
      </c>
      <c r="J84" s="139"/>
      <c r="K84" s="139">
        <f>STDEV(K50:K74)</f>
        <v>0.44377171308380337</v>
      </c>
      <c r="L84" s="139">
        <f>STDEV(L50:L74)</f>
        <v>0.2063169083392504</v>
      </c>
      <c r="M84" s="87"/>
      <c r="N84" s="139">
        <f>STDEV(N50:N74)</f>
        <v>0.72415467960926705</v>
      </c>
      <c r="O84" s="139">
        <f>STDEV(O50:O74)</f>
        <v>0.36115555282084932</v>
      </c>
      <c r="P84" s="139"/>
      <c r="Q84" s="139">
        <f>STDEV(Q50:Q74)</f>
        <v>0.64614239916600413</v>
      </c>
      <c r="R84" s="139">
        <f>STDEV(R50:R74)</f>
        <v>0.25508168626278671</v>
      </c>
      <c r="T84" s="130"/>
      <c r="AU84" s="83"/>
      <c r="AV84" s="83"/>
    </row>
    <row r="85" spans="1:72">
      <c r="T85" s="130"/>
      <c r="AU85" s="86"/>
      <c r="AV85" s="86"/>
      <c r="AX85" s="86"/>
      <c r="AY85" s="86"/>
    </row>
    <row r="86" spans="1:72">
      <c r="T86" s="130"/>
    </row>
    <row r="87" spans="1:72">
      <c r="T87" s="130"/>
      <c r="AF87" s="86"/>
      <c r="AG87" s="86"/>
    </row>
    <row r="88" spans="1:72">
      <c r="T88" s="130"/>
      <c r="AF88" s="86"/>
      <c r="AG88" s="86"/>
    </row>
    <row r="89" spans="1:72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132"/>
      <c r="T89" s="131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</row>
    <row r="90" spans="1:72">
      <c r="T90" s="127"/>
    </row>
    <row r="91" spans="1:72">
      <c r="T91" s="130"/>
    </row>
    <row r="92" spans="1:72">
      <c r="T92" s="130"/>
      <c r="U92" s="75" t="s">
        <v>406</v>
      </c>
    </row>
    <row r="93" spans="1:72">
      <c r="T93" s="130"/>
    </row>
    <row r="94" spans="1:72">
      <c r="T94" s="130"/>
      <c r="V94" s="186" t="s">
        <v>163</v>
      </c>
      <c r="W94" s="186"/>
      <c r="Y94" s="186" t="s">
        <v>41</v>
      </c>
      <c r="Z94" s="186"/>
      <c r="AC94" s="186" t="s">
        <v>163</v>
      </c>
      <c r="AD94" s="186"/>
      <c r="AF94" s="186" t="s">
        <v>41</v>
      </c>
      <c r="AG94" s="186"/>
      <c r="AI94" s="75" t="s">
        <v>410</v>
      </c>
      <c r="AO94"/>
      <c r="AP94" s="1" t="s">
        <v>387</v>
      </c>
      <c r="AQ94" s="1" t="s">
        <v>388</v>
      </c>
      <c r="AR94"/>
      <c r="AS94"/>
    </row>
    <row r="95" spans="1:72">
      <c r="T95" s="130"/>
      <c r="V95" s="104" t="s">
        <v>333</v>
      </c>
      <c r="W95" s="104" t="s">
        <v>334</v>
      </c>
      <c r="X95" s="104"/>
      <c r="Y95" s="104" t="s">
        <v>333</v>
      </c>
      <c r="Z95" s="104" t="s">
        <v>334</v>
      </c>
      <c r="AC95" s="104" t="s">
        <v>333</v>
      </c>
      <c r="AD95" s="104" t="s">
        <v>334</v>
      </c>
      <c r="AE95" s="104"/>
      <c r="AF95" s="104" t="s">
        <v>333</v>
      </c>
      <c r="AG95" s="104" t="s">
        <v>334</v>
      </c>
      <c r="AJ95" s="104" t="s">
        <v>472</v>
      </c>
      <c r="AK95" s="104" t="s">
        <v>473</v>
      </c>
      <c r="AL95" s="104" t="s">
        <v>408</v>
      </c>
      <c r="AM95" s="104" t="s">
        <v>409</v>
      </c>
      <c r="AO95" s="82" t="s">
        <v>296</v>
      </c>
      <c r="AP95" s="38">
        <f>(V96*$AJ$139)+(W96*$AJ$140)+(Y96*$AJ$141)+(Z96*$AJ$142)</f>
        <v>-0.99520399999999998</v>
      </c>
      <c r="AQ95" s="38">
        <f>(V96*$AK$139)+(W96*$AK$140)+(Y96*$AK$141)+(Z96*$AK$142)</f>
        <v>1.3433333333333408E-2</v>
      </c>
      <c r="AR95"/>
      <c r="AS95"/>
    </row>
    <row r="96" spans="1:72">
      <c r="T96" s="130"/>
      <c r="U96" s="82" t="s">
        <v>296</v>
      </c>
      <c r="V96" s="83">
        <v>-0.77200000000000024</v>
      </c>
      <c r="W96" s="83">
        <v>0.43866666666666676</v>
      </c>
      <c r="X96" s="83"/>
      <c r="Y96" s="83">
        <v>-2.4039999999999995</v>
      </c>
      <c r="Z96" s="83">
        <v>-1.0119999999999998</v>
      </c>
      <c r="AC96" s="83">
        <f>V96-$B$81</f>
        <v>7.1999999999999398E-2</v>
      </c>
      <c r="AD96" s="83">
        <f>W96-$C$81</f>
        <v>1.9999999999999962E-2</v>
      </c>
      <c r="AE96" s="81"/>
      <c r="AF96" s="83">
        <f>Y96-$E$81</f>
        <v>-6.0000000000000053E-2</v>
      </c>
      <c r="AG96" s="83">
        <f>Z96-$F$81</f>
        <v>-4.7999999999999821E-2</v>
      </c>
      <c r="AI96" s="106" t="s">
        <v>472</v>
      </c>
      <c r="AJ96" s="83">
        <f>(COVAR(V96:V170,V96:V170)*SUM($B$78,$H$78,$N$78))/(SUM($B$78,$H$78,$N$78)-1)</f>
        <v>0.73420540540540546</v>
      </c>
      <c r="AK96" s="83">
        <f>AJ97</f>
        <v>-5.1367567567567572E-2</v>
      </c>
      <c r="AL96" s="83">
        <f>AJ98</f>
        <v>1.3375459459459456</v>
      </c>
      <c r="AM96" s="83">
        <f>AJ99</f>
        <v>0.52223243243243256</v>
      </c>
      <c r="AO96" s="82" t="s">
        <v>296</v>
      </c>
      <c r="AP96" s="38">
        <f t="shared" ref="AP96:AP122" si="54">(V97*$AJ$139)+(W97*$AJ$140)+(Y97*$AJ$141)+(Z97*$AJ$142)</f>
        <v>-0.86750399999999983</v>
      </c>
      <c r="AQ96" s="38">
        <f t="shared" ref="AQ96:AQ122" si="55">(V97*$AK$139)+(W97*$AK$140)+(Y97*$AK$141)+(Z97*$AK$142)</f>
        <v>-0.11546666666666663</v>
      </c>
    </row>
    <row r="97" spans="7:43">
      <c r="T97" s="130"/>
      <c r="U97" s="82" t="s">
        <v>296</v>
      </c>
      <c r="V97" s="83">
        <v>-0.97199999999999953</v>
      </c>
      <c r="W97" s="83">
        <v>-6.133333333333324E-2</v>
      </c>
      <c r="X97" s="83"/>
      <c r="Y97" s="83">
        <v>-2.4039999999999995</v>
      </c>
      <c r="Z97" s="83">
        <v>-1.0119999999999998</v>
      </c>
      <c r="AC97" s="83">
        <f t="shared" ref="AC97:AC120" si="56">V97-$B$81</f>
        <v>-0.12799999999999989</v>
      </c>
      <c r="AD97" s="83">
        <f t="shared" ref="AD97:AD120" si="57">W97-$C$81</f>
        <v>-0.48000000000000004</v>
      </c>
      <c r="AE97" s="81"/>
      <c r="AF97" s="83">
        <f t="shared" ref="AF97:AF120" si="58">Y97-$E$81</f>
        <v>-6.0000000000000053E-2</v>
      </c>
      <c r="AG97" s="83">
        <f t="shared" ref="AG97:AG120" si="59">Z97-$F$81</f>
        <v>-4.7999999999999821E-2</v>
      </c>
      <c r="AI97" s="106" t="s">
        <v>473</v>
      </c>
      <c r="AJ97" s="83">
        <f>(COVAR(V96:V170,W96:W170)*SUM($B$78,$H$78,$N$78))/(SUM($B$78,$H$78,$N$78)-1)</f>
        <v>-5.1367567567567572E-2</v>
      </c>
      <c r="AK97" s="83">
        <f>(COVAR(W96:W170,W96:W170)*SUM($B$78,$H$78,$N$78))/(SUM($B$78,$H$78,$N$78)-1)</f>
        <v>0.21943063063063048</v>
      </c>
      <c r="AL97" s="83">
        <f>AK98</f>
        <v>-0.40038378378378386</v>
      </c>
      <c r="AM97" s="83">
        <f>AK99</f>
        <v>-0.1446648648648648</v>
      </c>
      <c r="AO97" s="82" t="s">
        <v>296</v>
      </c>
      <c r="AP97" s="38">
        <f t="shared" si="54"/>
        <v>-0.91750399999999988</v>
      </c>
      <c r="AQ97" s="38">
        <f t="shared" si="55"/>
        <v>-3.6566666666666581E-2</v>
      </c>
    </row>
    <row r="98" spans="7:43">
      <c r="T98" s="130"/>
      <c r="U98" s="82" t="s">
        <v>296</v>
      </c>
      <c r="V98" s="83">
        <v>-1.1719999999999997</v>
      </c>
      <c r="W98" s="83">
        <v>0.13866666666666694</v>
      </c>
      <c r="X98" s="83"/>
      <c r="Y98" s="83">
        <v>-2.5039999999999996</v>
      </c>
      <c r="Z98" s="83">
        <v>-1.0119999999999998</v>
      </c>
      <c r="AC98" s="83">
        <f t="shared" si="56"/>
        <v>-0.32800000000000007</v>
      </c>
      <c r="AD98" s="83">
        <f t="shared" si="57"/>
        <v>-0.27999999999999986</v>
      </c>
      <c r="AE98" s="81"/>
      <c r="AF98" s="83">
        <f t="shared" si="58"/>
        <v>-0.16000000000000014</v>
      </c>
      <c r="AG98" s="83">
        <f t="shared" si="59"/>
        <v>-4.7999999999999821E-2</v>
      </c>
      <c r="AI98" s="106" t="s">
        <v>408</v>
      </c>
      <c r="AJ98" s="83">
        <f>(COVAR(V96:V170,Y96:Y170)*SUM($B$78,$H$78,$N$78))/(SUM($B$78,$H$78,$N$78)-1)</f>
        <v>1.3375459459459456</v>
      </c>
      <c r="AK98" s="83">
        <f>(COVAR(W96:W170,Y96:Y170)*SUM($B$78,$H$78,$N$78))/(SUM($B$78,$H$78,$N$78)-1)</f>
        <v>-0.40038378378378386</v>
      </c>
      <c r="AL98" s="83">
        <f>(COVAR(Y96:Y170,Y96:Y170)*SUM($B$78,$H$78,$N$78))/(SUM($B$78,$H$78,$N$78)-1)</f>
        <v>3.2941729729729743</v>
      </c>
      <c r="AM98" s="83">
        <f>AL99</f>
        <v>1.3468432432432431</v>
      </c>
      <c r="AO98" s="82" t="s">
        <v>296</v>
      </c>
      <c r="AP98" s="38">
        <f t="shared" si="54"/>
        <v>-0.84700399999999987</v>
      </c>
      <c r="AQ98" s="38">
        <f t="shared" si="55"/>
        <v>-6.2466666666666559E-2</v>
      </c>
    </row>
    <row r="99" spans="7:43">
      <c r="T99" s="130"/>
      <c r="U99" s="82" t="s">
        <v>296</v>
      </c>
      <c r="V99" s="83">
        <v>-1.2720000000000002</v>
      </c>
      <c r="W99" s="83">
        <v>3.8666666666666849E-2</v>
      </c>
      <c r="X99" s="83"/>
      <c r="Y99" s="83">
        <v>-2.3039999999999994</v>
      </c>
      <c r="Z99" s="83">
        <v>-1.0119999999999998</v>
      </c>
      <c r="AC99" s="83">
        <f t="shared" si="56"/>
        <v>-0.4280000000000006</v>
      </c>
      <c r="AD99" s="83">
        <f t="shared" si="57"/>
        <v>-0.37999999999999995</v>
      </c>
      <c r="AE99" s="81"/>
      <c r="AF99" s="83">
        <f t="shared" si="58"/>
        <v>4.0000000000000036E-2</v>
      </c>
      <c r="AG99" s="83">
        <f t="shared" si="59"/>
        <v>-4.7999999999999821E-2</v>
      </c>
      <c r="AI99" s="106" t="s">
        <v>409</v>
      </c>
      <c r="AJ99" s="83">
        <f>(COVAR(V96:V170,Z96:Z170)*SUM($B$78,$H$78,$N$78))/(SUM($B$78,$H$78,$N$78)-1)</f>
        <v>0.52223243243243256</v>
      </c>
      <c r="AK99" s="83">
        <f>(COVAR(W96:W170,Z96:Z170)*SUM($B$78,$H$78,$N$78))/(SUM($B$78,$H$78,$N$78)-1)</f>
        <v>-0.1446648648648648</v>
      </c>
      <c r="AL99" s="83">
        <f>(COVAR(Y96:Y170,Z96:Z170)*SUM($B$78,$H$78,$N$78))/(SUM($B$78,$H$78,$N$78)-1)</f>
        <v>1.3468432432432431</v>
      </c>
      <c r="AM99" s="83">
        <f>(COVAR(Z96:Z170,Z96:Z170)*SUM($B$78,$H$78,$N$78))/(SUM($B$78,$H$78,$N$78)-1)</f>
        <v>0.59215135135135133</v>
      </c>
      <c r="AO99" s="82" t="s">
        <v>296</v>
      </c>
      <c r="AP99" s="38">
        <f t="shared" si="54"/>
        <v>-1.0101039999999999</v>
      </c>
      <c r="AQ99" s="38">
        <f t="shared" si="55"/>
        <v>5.1533333333333375E-2</v>
      </c>
    </row>
    <row r="100" spans="7:43">
      <c r="T100" s="130"/>
      <c r="U100" s="82" t="s">
        <v>296</v>
      </c>
      <c r="V100" s="83">
        <v>-0.87199999999999989</v>
      </c>
      <c r="W100" s="83">
        <v>0.53866666666666685</v>
      </c>
      <c r="X100" s="83"/>
      <c r="Y100" s="83">
        <v>-2.4039999999999995</v>
      </c>
      <c r="Z100" s="83">
        <v>-1.0119999999999998</v>
      </c>
      <c r="AC100" s="83">
        <f t="shared" si="56"/>
        <v>-2.8000000000000247E-2</v>
      </c>
      <c r="AD100" s="83">
        <f t="shared" si="57"/>
        <v>0.12000000000000005</v>
      </c>
      <c r="AE100" s="81"/>
      <c r="AF100" s="83">
        <f t="shared" si="58"/>
        <v>-6.0000000000000053E-2</v>
      </c>
      <c r="AG100" s="83">
        <f t="shared" si="59"/>
        <v>-4.7999999999999821E-2</v>
      </c>
      <c r="AO100" s="82" t="s">
        <v>296</v>
      </c>
      <c r="AP100" s="38">
        <f t="shared" si="54"/>
        <v>-0.95460399999999979</v>
      </c>
      <c r="AQ100" s="38">
        <f t="shared" si="55"/>
        <v>0.14513333333333331</v>
      </c>
    </row>
    <row r="101" spans="7:43">
      <c r="T101" s="130"/>
      <c r="U101" s="82" t="s">
        <v>296</v>
      </c>
      <c r="V101" s="83">
        <v>-0.47199999999999953</v>
      </c>
      <c r="W101" s="83">
        <v>0.83866666666666667</v>
      </c>
      <c r="X101" s="83"/>
      <c r="Y101" s="83">
        <v>-2.1039999999999992</v>
      </c>
      <c r="Z101" s="83">
        <v>-0.81199999999999972</v>
      </c>
      <c r="AC101" s="83">
        <f t="shared" si="56"/>
        <v>0.37200000000000011</v>
      </c>
      <c r="AD101" s="83">
        <f t="shared" si="57"/>
        <v>0.41999999999999987</v>
      </c>
      <c r="AE101" s="81"/>
      <c r="AF101" s="83">
        <f t="shared" si="58"/>
        <v>0.24000000000000021</v>
      </c>
      <c r="AG101" s="83">
        <f t="shared" si="59"/>
        <v>0.15200000000000025</v>
      </c>
      <c r="AO101" s="82" t="s">
        <v>296</v>
      </c>
      <c r="AP101" s="38">
        <f t="shared" si="54"/>
        <v>-0.88830399999999976</v>
      </c>
      <c r="AQ101" s="38">
        <f t="shared" si="55"/>
        <v>5.2633333333333421E-2</v>
      </c>
    </row>
    <row r="102" spans="7:43">
      <c r="T102" s="130"/>
      <c r="U102" s="82" t="s">
        <v>296</v>
      </c>
      <c r="V102" s="83">
        <v>-1.2720000000000002</v>
      </c>
      <c r="W102" s="83">
        <v>0.33866666666666667</v>
      </c>
      <c r="X102" s="83"/>
      <c r="Y102" s="83">
        <v>-2.4039999999999995</v>
      </c>
      <c r="Z102" s="83">
        <v>-0.9119999999999997</v>
      </c>
      <c r="AC102" s="83">
        <f t="shared" si="56"/>
        <v>-0.4280000000000006</v>
      </c>
      <c r="AD102" s="83">
        <f t="shared" si="57"/>
        <v>-8.0000000000000127E-2</v>
      </c>
      <c r="AE102" s="81"/>
      <c r="AF102" s="83">
        <f t="shared" si="58"/>
        <v>-6.0000000000000053E-2</v>
      </c>
      <c r="AG102" s="83">
        <f t="shared" si="59"/>
        <v>5.2000000000000268E-2</v>
      </c>
      <c r="AI102" s="75" t="s">
        <v>411</v>
      </c>
      <c r="AO102" s="82" t="s">
        <v>296</v>
      </c>
      <c r="AP102" s="38">
        <f t="shared" si="54"/>
        <v>-0.94490399999999974</v>
      </c>
      <c r="AQ102" s="38">
        <f t="shared" si="55"/>
        <v>-9.7666666666666457E-3</v>
      </c>
    </row>
    <row r="103" spans="7:43">
      <c r="T103" s="130"/>
      <c r="U103" s="82" t="s">
        <v>296</v>
      </c>
      <c r="V103" s="83">
        <v>-0.87199999999999989</v>
      </c>
      <c r="W103" s="83">
        <v>0.33866666666666667</v>
      </c>
      <c r="X103" s="83"/>
      <c r="Y103" s="83">
        <v>-2.3039999999999994</v>
      </c>
      <c r="Z103" s="83">
        <v>-1.0119999999999998</v>
      </c>
      <c r="AC103" s="83">
        <f t="shared" si="56"/>
        <v>-2.8000000000000247E-2</v>
      </c>
      <c r="AD103" s="83">
        <f t="shared" si="57"/>
        <v>-8.0000000000000127E-2</v>
      </c>
      <c r="AE103" s="81"/>
      <c r="AF103" s="83">
        <f t="shared" si="58"/>
        <v>4.0000000000000036E-2</v>
      </c>
      <c r="AG103" s="83">
        <f t="shared" si="59"/>
        <v>-4.7999999999999821E-2</v>
      </c>
      <c r="AJ103" s="104" t="s">
        <v>472</v>
      </c>
      <c r="AK103" s="104" t="s">
        <v>473</v>
      </c>
      <c r="AL103" s="104" t="s">
        <v>408</v>
      </c>
      <c r="AM103" s="104" t="s">
        <v>409</v>
      </c>
      <c r="AO103" s="82" t="s">
        <v>296</v>
      </c>
      <c r="AP103" s="38">
        <f t="shared" si="54"/>
        <v>-0.80700399999999983</v>
      </c>
      <c r="AQ103" s="38">
        <f t="shared" si="55"/>
        <v>-0.10076666666666667</v>
      </c>
    </row>
    <row r="104" spans="7:43">
      <c r="T104" s="130"/>
      <c r="U104" s="82" t="s">
        <v>296</v>
      </c>
      <c r="V104" s="83">
        <v>-1.4719999999999995</v>
      </c>
      <c r="W104" s="83">
        <v>-0.16133333333333333</v>
      </c>
      <c r="X104" s="83"/>
      <c r="Y104" s="83">
        <v>-2.4039999999999995</v>
      </c>
      <c r="Z104" s="83">
        <v>-1.0119999999999998</v>
      </c>
      <c r="AC104" s="83">
        <f t="shared" si="56"/>
        <v>-0.62799999999999989</v>
      </c>
      <c r="AD104" s="83">
        <f t="shared" si="57"/>
        <v>-0.58000000000000007</v>
      </c>
      <c r="AE104" s="81"/>
      <c r="AF104" s="83">
        <f t="shared" si="58"/>
        <v>-6.0000000000000053E-2</v>
      </c>
      <c r="AG104" s="83">
        <f t="shared" si="59"/>
        <v>-4.7999999999999821E-2</v>
      </c>
      <c r="AI104" s="106" t="s">
        <v>472</v>
      </c>
      <c r="AJ104" s="83">
        <f>(COVAR(AC96:AC170,AC96:AC170)*SUM($B$78,$H$78,$N$78))/(SUM($B$78,$H$78,$N$78)-1)</f>
        <v>0.31949189189189198</v>
      </c>
      <c r="AK104" s="83">
        <f>AJ105</f>
        <v>0.11321621621621622</v>
      </c>
      <c r="AL104" s="83">
        <f>AJ106</f>
        <v>0.20849189189189191</v>
      </c>
      <c r="AM104" s="83">
        <f>AJ107</f>
        <v>4.3237837837837828E-2</v>
      </c>
      <c r="AO104" s="82" t="s">
        <v>296</v>
      </c>
      <c r="AP104" s="38">
        <f t="shared" si="54"/>
        <v>-0.9162039999999998</v>
      </c>
      <c r="AQ104" s="38">
        <f t="shared" si="55"/>
        <v>-0.11336666666666656</v>
      </c>
    </row>
    <row r="105" spans="7:43">
      <c r="T105" s="130"/>
      <c r="U105" s="82" t="s">
        <v>296</v>
      </c>
      <c r="V105" s="83">
        <v>-0.97199999999999953</v>
      </c>
      <c r="W105" s="83">
        <v>3.8666666666666849E-2</v>
      </c>
      <c r="X105" s="83"/>
      <c r="Y105" s="83">
        <v>-2.3039999999999994</v>
      </c>
      <c r="Z105" s="83">
        <v>-1.1119999999999997</v>
      </c>
      <c r="AC105" s="83">
        <f t="shared" si="56"/>
        <v>-0.12799999999999989</v>
      </c>
      <c r="AD105" s="83">
        <f t="shared" si="57"/>
        <v>-0.37999999999999995</v>
      </c>
      <c r="AE105" s="81"/>
      <c r="AF105" s="83">
        <f t="shared" si="58"/>
        <v>4.0000000000000036E-2</v>
      </c>
      <c r="AG105" s="83">
        <f t="shared" si="59"/>
        <v>-0.14799999999999969</v>
      </c>
      <c r="AI105" s="106" t="s">
        <v>473</v>
      </c>
      <c r="AJ105" s="83">
        <f>(COVAR(AC96:AC170,AD96:AD170)*SUM($B$78,$H$78,$N$78))/(SUM($B$78,$H$78,$N$78)-1)</f>
        <v>0.11321621621621622</v>
      </c>
      <c r="AK105" s="83">
        <f>(COVAR(AD96:AD170,AD96:AD170)*SUM($B$78,$H$78,$N$78))/(SUM($B$78,$H$78,$N$78)-1)</f>
        <v>0.12670270270270267</v>
      </c>
      <c r="AL105" s="83">
        <f>AK106</f>
        <v>6.2827027027027027E-2</v>
      </c>
      <c r="AM105" s="83">
        <f>AK107</f>
        <v>4.1886486486486504E-2</v>
      </c>
      <c r="AO105" s="82" t="s">
        <v>296</v>
      </c>
      <c r="AP105" s="38">
        <f t="shared" si="54"/>
        <v>-1.0428039999999998</v>
      </c>
      <c r="AQ105" s="38">
        <f t="shared" si="55"/>
        <v>4.2933333333333379E-2</v>
      </c>
    </row>
    <row r="106" spans="7:43">
      <c r="T106" s="130"/>
      <c r="U106" s="82" t="s">
        <v>296</v>
      </c>
      <c r="V106" s="83">
        <v>-0.47199999999999953</v>
      </c>
      <c r="W106" s="83">
        <v>0.63866666666666694</v>
      </c>
      <c r="X106" s="83"/>
      <c r="Y106" s="83">
        <v>-2.3039999999999994</v>
      </c>
      <c r="Z106" s="83">
        <v>-1.0119999999999998</v>
      </c>
      <c r="AC106" s="83">
        <f t="shared" si="56"/>
        <v>0.37200000000000011</v>
      </c>
      <c r="AD106" s="83">
        <f t="shared" si="57"/>
        <v>0.22000000000000014</v>
      </c>
      <c r="AE106" s="81"/>
      <c r="AF106" s="83">
        <f t="shared" si="58"/>
        <v>4.0000000000000036E-2</v>
      </c>
      <c r="AG106" s="83">
        <f t="shared" si="59"/>
        <v>-4.7999999999999821E-2</v>
      </c>
      <c r="AI106" s="106" t="s">
        <v>408</v>
      </c>
      <c r="AJ106" s="83">
        <f>(COVAR(AC96:AC170,AF96:AF170)*SUM($B$78,$H$78,$N$78))/(SUM($B$78,$H$78,$N$78)-1)</f>
        <v>0.20849189189189191</v>
      </c>
      <c r="AK106" s="83">
        <f>(COVAR(AD96:AD170,AF96:AF170)*SUM($B$78,$H$78,$N$78))/(SUM($B$78,$H$78,$N$78)-1)</f>
        <v>6.2827027027027027E-2</v>
      </c>
      <c r="AL106" s="83">
        <f>(COVAR(AF96:AF170,AF96:AF170)*SUM($B$78,$H$78,$N$78))/(SUM($B$78,$H$78,$N$78)-1)</f>
        <v>0.21197837837837841</v>
      </c>
      <c r="AM106" s="83">
        <f>AL107</f>
        <v>4.4740540540540545E-2</v>
      </c>
      <c r="AO106" s="82" t="s">
        <v>296</v>
      </c>
      <c r="AP106" s="38">
        <f t="shared" si="54"/>
        <v>-0.90950399999999987</v>
      </c>
      <c r="AQ106" s="38">
        <f t="shared" si="55"/>
        <v>5.1333333333333231E-3</v>
      </c>
    </row>
    <row r="107" spans="7:43">
      <c r="T107" s="130"/>
      <c r="U107" s="82" t="s">
        <v>296</v>
      </c>
      <c r="V107" s="83">
        <v>-1.0720000000000001</v>
      </c>
      <c r="W107" s="83">
        <v>0.33866666666666667</v>
      </c>
      <c r="X107" s="83"/>
      <c r="Y107" s="83">
        <v>-2.2039999999999993</v>
      </c>
      <c r="Z107" s="83">
        <v>-1.0119999999999998</v>
      </c>
      <c r="AC107" s="83">
        <f t="shared" si="56"/>
        <v>-0.22800000000000042</v>
      </c>
      <c r="AD107" s="83">
        <f t="shared" si="57"/>
        <v>-8.0000000000000127E-2</v>
      </c>
      <c r="AE107" s="81"/>
      <c r="AF107" s="83">
        <f t="shared" si="58"/>
        <v>0.14000000000000012</v>
      </c>
      <c r="AG107" s="83">
        <f t="shared" si="59"/>
        <v>-4.7999999999999821E-2</v>
      </c>
      <c r="AI107" s="106" t="s">
        <v>409</v>
      </c>
      <c r="AJ107" s="83">
        <f>(COVAR(AC96:AC170,AG96:AG170)*SUM($B$78,$H$78,$N$78))/(SUM($B$78,$H$78,$N$78)-1)</f>
        <v>4.3237837837837828E-2</v>
      </c>
      <c r="AK107" s="83">
        <f>(COVAR(AD96:AD170,AG96:AG170)*SUM($B$78,$H$78,$N$78))/(SUM($B$78,$H$78,$N$78)-1)</f>
        <v>4.1886486486486504E-2</v>
      </c>
      <c r="AL107" s="83">
        <f>(COVAR(AF96:AF170,AG96:AG170)*SUM($B$78,$H$78,$N$78))/(SUM($B$78,$H$78,$N$78)-1)</f>
        <v>4.4740540540540545E-2</v>
      </c>
      <c r="AM107" s="83">
        <f>(COVAR(AG96:AG170,AG96:AG170)*SUM($B$78,$H$78,$N$78))/(SUM($B$78,$H$78,$N$78)-1)</f>
        <v>3.8454054054054054E-2</v>
      </c>
      <c r="AO107" s="82" t="s">
        <v>296</v>
      </c>
      <c r="AP107" s="38">
        <f t="shared" si="54"/>
        <v>-0.90630399999999978</v>
      </c>
      <c r="AQ107" s="38">
        <f t="shared" si="55"/>
        <v>-0.13116666666666654</v>
      </c>
    </row>
    <row r="108" spans="7:43">
      <c r="T108" s="130"/>
      <c r="U108" s="82" t="s">
        <v>296</v>
      </c>
      <c r="V108" s="83">
        <v>-1.0720000000000001</v>
      </c>
      <c r="W108" s="83">
        <v>-6.133333333333324E-2</v>
      </c>
      <c r="X108" s="83"/>
      <c r="Y108" s="83">
        <v>-2.4039999999999995</v>
      </c>
      <c r="Z108" s="83">
        <v>-1.1119999999999997</v>
      </c>
      <c r="AC108" s="83">
        <f t="shared" si="56"/>
        <v>-0.22800000000000042</v>
      </c>
      <c r="AD108" s="83">
        <f t="shared" si="57"/>
        <v>-0.48000000000000004</v>
      </c>
      <c r="AE108" s="81"/>
      <c r="AF108" s="83">
        <f t="shared" si="58"/>
        <v>-6.0000000000000053E-2</v>
      </c>
      <c r="AG108" s="83">
        <f t="shared" si="59"/>
        <v>-0.14799999999999969</v>
      </c>
      <c r="AO108" s="82" t="s">
        <v>296</v>
      </c>
      <c r="AP108" s="38">
        <f t="shared" si="54"/>
        <v>-0.92890399999999973</v>
      </c>
      <c r="AQ108" s="38">
        <f t="shared" si="55"/>
        <v>-7.9066666666666563E-2</v>
      </c>
    </row>
    <row r="109" spans="7:43">
      <c r="T109" s="130"/>
      <c r="U109" s="82" t="s">
        <v>296</v>
      </c>
      <c r="V109" s="83">
        <v>-1.5720000000000001</v>
      </c>
      <c r="W109" s="83">
        <v>-6.133333333333324E-2</v>
      </c>
      <c r="X109" s="83"/>
      <c r="Y109" s="83">
        <v>-2.7039999999999993</v>
      </c>
      <c r="Z109" s="83">
        <v>-1.1119999999999997</v>
      </c>
      <c r="AC109" s="83">
        <f t="shared" si="56"/>
        <v>-0.72800000000000042</v>
      </c>
      <c r="AD109" s="83">
        <f t="shared" si="57"/>
        <v>-0.48000000000000004</v>
      </c>
      <c r="AE109" s="81"/>
      <c r="AF109" s="83">
        <f t="shared" si="58"/>
        <v>-0.35999999999999988</v>
      </c>
      <c r="AG109" s="83">
        <f t="shared" si="59"/>
        <v>-0.14799999999999969</v>
      </c>
      <c r="AO109" s="82" t="s">
        <v>296</v>
      </c>
      <c r="AP109" s="38">
        <f t="shared" si="54"/>
        <v>-1.2013039999999999</v>
      </c>
      <c r="AQ109" s="38">
        <f t="shared" si="55"/>
        <v>0.1037333333333334</v>
      </c>
    </row>
    <row r="110" spans="7:43">
      <c r="T110" s="130"/>
      <c r="U110" s="82" t="s">
        <v>296</v>
      </c>
      <c r="V110" s="83">
        <v>-7.2000000000000064E-2</v>
      </c>
      <c r="W110" s="83">
        <v>0.93866666666666676</v>
      </c>
      <c r="X110" s="83"/>
      <c r="Y110" s="83">
        <v>-2.6039999999999992</v>
      </c>
      <c r="Z110" s="83">
        <v>-1.0119999999999998</v>
      </c>
      <c r="AC110" s="83">
        <f t="shared" si="56"/>
        <v>0.77199999999999958</v>
      </c>
      <c r="AD110" s="83">
        <f t="shared" si="57"/>
        <v>0.52</v>
      </c>
      <c r="AE110" s="81"/>
      <c r="AF110" s="83">
        <f t="shared" si="58"/>
        <v>-0.25999999999999979</v>
      </c>
      <c r="AG110" s="83">
        <f t="shared" si="59"/>
        <v>-4.7999999999999821E-2</v>
      </c>
      <c r="AI110" s="75" t="s">
        <v>412</v>
      </c>
      <c r="AO110" s="82" t="s">
        <v>296</v>
      </c>
      <c r="AP110" s="38">
        <f t="shared" si="54"/>
        <v>-1.1303039999999998</v>
      </c>
      <c r="AQ110" s="38">
        <f t="shared" si="55"/>
        <v>0.2706333333333335</v>
      </c>
    </row>
    <row r="111" spans="7:43">
      <c r="T111" s="130"/>
      <c r="U111" s="82" t="s">
        <v>296</v>
      </c>
      <c r="V111" s="83">
        <v>-0.17199999999999971</v>
      </c>
      <c r="W111" s="83">
        <v>1.3386666666666671</v>
      </c>
      <c r="X111" s="83"/>
      <c r="Y111" s="83">
        <v>-2.3039999999999994</v>
      </c>
      <c r="Z111" s="83">
        <v>-0.81199999999999972</v>
      </c>
      <c r="AC111" s="83">
        <f t="shared" si="56"/>
        <v>0.67199999999999993</v>
      </c>
      <c r="AD111" s="83">
        <f t="shared" si="57"/>
        <v>0.92000000000000037</v>
      </c>
      <c r="AE111" s="81"/>
      <c r="AF111" s="83">
        <f t="shared" si="58"/>
        <v>4.0000000000000036E-2</v>
      </c>
      <c r="AG111" s="83">
        <f t="shared" si="59"/>
        <v>0.15200000000000025</v>
      </c>
      <c r="AJ111" s="104" t="s">
        <v>472</v>
      </c>
      <c r="AK111" s="104" t="s">
        <v>473</v>
      </c>
      <c r="AL111" s="104" t="s">
        <v>408</v>
      </c>
      <c r="AM111" s="104" t="s">
        <v>409</v>
      </c>
      <c r="AO111" s="82" t="s">
        <v>296</v>
      </c>
      <c r="AP111" s="38">
        <f t="shared" si="54"/>
        <v>-1.0354039999999998</v>
      </c>
      <c r="AQ111" s="38">
        <f t="shared" si="55"/>
        <v>0.15593333333333334</v>
      </c>
    </row>
    <row r="112" spans="7:43">
      <c r="G112" s="106"/>
      <c r="M112" s="106"/>
      <c r="T112" s="130"/>
      <c r="U112" s="82" t="s">
        <v>296</v>
      </c>
      <c r="V112" s="83">
        <v>-0.47199999999999953</v>
      </c>
      <c r="W112" s="83">
        <v>0.83866666666666667</v>
      </c>
      <c r="X112" s="83"/>
      <c r="Y112" s="83">
        <v>-2.5039999999999996</v>
      </c>
      <c r="Z112" s="83">
        <v>-0.81199999999999972</v>
      </c>
      <c r="AC112" s="83">
        <f t="shared" si="56"/>
        <v>0.37200000000000011</v>
      </c>
      <c r="AD112" s="83">
        <f t="shared" si="57"/>
        <v>0.41999999999999987</v>
      </c>
      <c r="AE112" s="81"/>
      <c r="AF112" s="83">
        <f t="shared" si="58"/>
        <v>-0.16000000000000014</v>
      </c>
      <c r="AG112" s="83">
        <f t="shared" si="59"/>
        <v>0.15200000000000025</v>
      </c>
      <c r="AI112" s="106" t="s">
        <v>472</v>
      </c>
      <c r="AJ112" s="83">
        <f t="shared" ref="AJ112:AM113" si="60">AJ96-AJ104</f>
        <v>0.41471351351351349</v>
      </c>
      <c r="AK112" s="83">
        <f t="shared" si="60"/>
        <v>-0.1645837837837838</v>
      </c>
      <c r="AL112" s="83">
        <f t="shared" si="60"/>
        <v>1.1290540540540537</v>
      </c>
      <c r="AM112" s="83">
        <f t="shared" si="60"/>
        <v>0.4789945945945947</v>
      </c>
      <c r="AO112" s="82" t="s">
        <v>296</v>
      </c>
      <c r="AP112" s="38">
        <f t="shared" si="54"/>
        <v>-0.94880399999999987</v>
      </c>
      <c r="AQ112" s="38">
        <f t="shared" si="55"/>
        <v>3.793333333333343E-2</v>
      </c>
    </row>
    <row r="113" spans="7:43">
      <c r="G113" s="106"/>
      <c r="H113" s="108"/>
      <c r="M113" s="106"/>
      <c r="N113" s="108"/>
      <c r="T113" s="130"/>
      <c r="U113" s="82" t="s">
        <v>296</v>
      </c>
      <c r="V113" s="83">
        <v>-0.77200000000000024</v>
      </c>
      <c r="W113" s="83">
        <v>0.43866666666666676</v>
      </c>
      <c r="X113" s="83"/>
      <c r="Y113" s="83">
        <v>-2.4039999999999995</v>
      </c>
      <c r="Z113" s="83">
        <v>-0.9119999999999997</v>
      </c>
      <c r="AC113" s="83">
        <f t="shared" si="56"/>
        <v>7.1999999999999398E-2</v>
      </c>
      <c r="AD113" s="83">
        <f t="shared" si="57"/>
        <v>1.9999999999999962E-2</v>
      </c>
      <c r="AE113" s="81"/>
      <c r="AF113" s="83">
        <f t="shared" si="58"/>
        <v>-6.0000000000000053E-2</v>
      </c>
      <c r="AG113" s="83">
        <f t="shared" si="59"/>
        <v>5.2000000000000268E-2</v>
      </c>
      <c r="AI113" s="106" t="s">
        <v>473</v>
      </c>
      <c r="AJ113" s="83">
        <f t="shared" si="60"/>
        <v>-0.1645837837837838</v>
      </c>
      <c r="AK113" s="83">
        <f t="shared" si="60"/>
        <v>9.2727927927927806E-2</v>
      </c>
      <c r="AL113" s="83">
        <f t="shared" si="60"/>
        <v>-0.46321081081081089</v>
      </c>
      <c r="AM113" s="83">
        <f t="shared" si="60"/>
        <v>-0.18655135135135131</v>
      </c>
      <c r="AO113" s="82" t="s">
        <v>296</v>
      </c>
      <c r="AP113" s="38">
        <f t="shared" si="54"/>
        <v>-1.0013039999999997</v>
      </c>
      <c r="AQ113" s="38">
        <f t="shared" si="55"/>
        <v>6.4933333333333343E-2</v>
      </c>
    </row>
    <row r="114" spans="7:43">
      <c r="G114" s="106"/>
      <c r="M114" s="106"/>
      <c r="T114" s="130"/>
      <c r="U114" s="82" t="s">
        <v>296</v>
      </c>
      <c r="V114" s="83">
        <v>-0.17199999999999971</v>
      </c>
      <c r="W114" s="83">
        <v>0.73866666666666658</v>
      </c>
      <c r="X114" s="83"/>
      <c r="Y114" s="83">
        <v>-2.1039999999999992</v>
      </c>
      <c r="Z114" s="83">
        <v>-0.9119999999999997</v>
      </c>
      <c r="AC114" s="83">
        <f t="shared" si="56"/>
        <v>0.67199999999999993</v>
      </c>
      <c r="AD114" s="83">
        <f t="shared" si="57"/>
        <v>0.31999999999999978</v>
      </c>
      <c r="AE114" s="81"/>
      <c r="AF114" s="83">
        <f t="shared" si="58"/>
        <v>0.24000000000000021</v>
      </c>
      <c r="AG114" s="83">
        <f t="shared" si="59"/>
        <v>5.2000000000000268E-2</v>
      </c>
      <c r="AI114" s="106" t="s">
        <v>408</v>
      </c>
      <c r="AJ114" s="83">
        <f t="shared" ref="AJ114:AM115" si="61">AJ98-AJ106</f>
        <v>1.1290540540540537</v>
      </c>
      <c r="AK114" s="83">
        <f t="shared" si="61"/>
        <v>-0.46321081081081089</v>
      </c>
      <c r="AL114" s="83">
        <f t="shared" si="61"/>
        <v>3.0821945945945961</v>
      </c>
      <c r="AM114" s="83">
        <f t="shared" si="61"/>
        <v>1.3021027027027026</v>
      </c>
      <c r="AO114" s="82" t="s">
        <v>296</v>
      </c>
      <c r="AP114" s="38">
        <f t="shared" si="54"/>
        <v>-0.99610399999999977</v>
      </c>
      <c r="AQ114" s="38">
        <f t="shared" si="55"/>
        <v>0.12313333333333343</v>
      </c>
    </row>
    <row r="115" spans="7:43">
      <c r="H115" s="137"/>
      <c r="N115" s="137"/>
      <c r="T115" s="130"/>
      <c r="U115" s="82" t="s">
        <v>296</v>
      </c>
      <c r="V115" s="83">
        <v>-0.77200000000000024</v>
      </c>
      <c r="W115" s="83">
        <v>0.73866666666666658</v>
      </c>
      <c r="X115" s="83"/>
      <c r="Y115" s="83">
        <v>-2.3039999999999994</v>
      </c>
      <c r="Z115" s="83">
        <v>-0.9119999999999997</v>
      </c>
      <c r="AC115" s="83">
        <f t="shared" si="56"/>
        <v>7.1999999999999398E-2</v>
      </c>
      <c r="AD115" s="83">
        <f t="shared" si="57"/>
        <v>0.31999999999999978</v>
      </c>
      <c r="AE115" s="81"/>
      <c r="AF115" s="83">
        <f t="shared" si="58"/>
        <v>4.0000000000000036E-2</v>
      </c>
      <c r="AG115" s="83">
        <f t="shared" si="59"/>
        <v>5.2000000000000268E-2</v>
      </c>
      <c r="AI115" s="106" t="s">
        <v>409</v>
      </c>
      <c r="AJ115" s="83">
        <f t="shared" si="61"/>
        <v>0.4789945945945947</v>
      </c>
      <c r="AK115" s="83">
        <f t="shared" si="61"/>
        <v>-0.18655135135135131</v>
      </c>
      <c r="AL115" s="83">
        <f t="shared" si="61"/>
        <v>1.3021027027027026</v>
      </c>
      <c r="AM115" s="83">
        <f t="shared" si="61"/>
        <v>0.55369729729729733</v>
      </c>
      <c r="AO115" s="82" t="s">
        <v>296</v>
      </c>
      <c r="AP115" s="38">
        <f t="shared" si="54"/>
        <v>-0.93490399999999985</v>
      </c>
      <c r="AQ115" s="38">
        <f t="shared" si="55"/>
        <v>-5.0366666666666698E-2</v>
      </c>
    </row>
    <row r="116" spans="7:43">
      <c r="G116" s="106"/>
      <c r="H116" s="108"/>
      <c r="M116" s="106"/>
      <c r="N116" s="108"/>
      <c r="T116" s="130"/>
      <c r="U116" s="82" t="s">
        <v>296</v>
      </c>
      <c r="V116" s="83">
        <v>-0.47199999999999953</v>
      </c>
      <c r="W116" s="83">
        <v>0.33866666666666667</v>
      </c>
      <c r="X116" s="83"/>
      <c r="Y116" s="83">
        <v>-2.1039999999999992</v>
      </c>
      <c r="Z116" s="83">
        <v>-1.0119999999999998</v>
      </c>
      <c r="AC116" s="83">
        <f t="shared" si="56"/>
        <v>0.37200000000000011</v>
      </c>
      <c r="AD116" s="83">
        <f t="shared" si="57"/>
        <v>-8.0000000000000127E-2</v>
      </c>
      <c r="AE116" s="81"/>
      <c r="AF116" s="83">
        <f t="shared" si="58"/>
        <v>0.24000000000000021</v>
      </c>
      <c r="AG116" s="83">
        <f t="shared" si="59"/>
        <v>-4.7999999999999821E-2</v>
      </c>
      <c r="AO116" s="82" t="s">
        <v>296</v>
      </c>
      <c r="AP116" s="38">
        <f t="shared" si="54"/>
        <v>-0.92720399999999981</v>
      </c>
      <c r="AQ116" s="38">
        <f t="shared" si="55"/>
        <v>0.11833333333333348</v>
      </c>
    </row>
    <row r="117" spans="7:43">
      <c r="G117" s="106"/>
      <c r="H117" s="108"/>
      <c r="M117" s="106"/>
      <c r="N117" s="108"/>
      <c r="T117" s="130"/>
      <c r="U117" s="82" t="s">
        <v>296</v>
      </c>
      <c r="V117" s="83">
        <v>-0.77200000000000024</v>
      </c>
      <c r="W117" s="83">
        <v>0.63866666666666694</v>
      </c>
      <c r="X117" s="83"/>
      <c r="Y117" s="83">
        <v>-2.3039999999999994</v>
      </c>
      <c r="Z117" s="83">
        <v>-0.81199999999999972</v>
      </c>
      <c r="AC117" s="83">
        <f t="shared" si="56"/>
        <v>7.1999999999999398E-2</v>
      </c>
      <c r="AD117" s="83">
        <f t="shared" si="57"/>
        <v>0.22000000000000014</v>
      </c>
      <c r="AE117" s="81"/>
      <c r="AF117" s="83">
        <f t="shared" si="58"/>
        <v>4.0000000000000036E-2</v>
      </c>
      <c r="AG117" s="83">
        <f t="shared" si="59"/>
        <v>0.15200000000000025</v>
      </c>
      <c r="AO117" s="82" t="s">
        <v>296</v>
      </c>
      <c r="AP117" s="38">
        <f t="shared" si="54"/>
        <v>-1.0605039999999999</v>
      </c>
      <c r="AQ117" s="38">
        <f t="shared" si="55"/>
        <v>9.7533333333333472E-2</v>
      </c>
    </row>
    <row r="118" spans="7:43">
      <c r="G118" s="106"/>
      <c r="M118" s="106"/>
      <c r="T118" s="130"/>
      <c r="U118" s="82" t="s">
        <v>296</v>
      </c>
      <c r="V118" s="83">
        <v>-1.2720000000000002</v>
      </c>
      <c r="W118" s="83">
        <v>0.53866666666666685</v>
      </c>
      <c r="X118" s="83"/>
      <c r="Y118" s="83">
        <v>-2.8039999999999994</v>
      </c>
      <c r="Z118" s="83">
        <v>-1.0119999999999998</v>
      </c>
      <c r="AC118" s="83">
        <f t="shared" si="56"/>
        <v>-0.4280000000000006</v>
      </c>
      <c r="AD118" s="83">
        <f t="shared" si="57"/>
        <v>0.12000000000000005</v>
      </c>
      <c r="AE118" s="81"/>
      <c r="AF118" s="83">
        <f t="shared" si="58"/>
        <v>-0.45999999999999996</v>
      </c>
      <c r="AG118" s="83">
        <f t="shared" si="59"/>
        <v>-4.7999999999999821E-2</v>
      </c>
      <c r="AO118" s="82" t="s">
        <v>296</v>
      </c>
      <c r="AP118" s="38">
        <f t="shared" si="54"/>
        <v>-0.75040399999999974</v>
      </c>
      <c r="AQ118" s="38">
        <f t="shared" si="55"/>
        <v>2.0233333333333381E-2</v>
      </c>
    </row>
    <row r="119" spans="7:43">
      <c r="G119" s="106"/>
      <c r="M119" s="106"/>
      <c r="T119" s="130"/>
      <c r="U119" s="82" t="s">
        <v>296</v>
      </c>
      <c r="V119" s="83">
        <v>-0.77200000000000024</v>
      </c>
      <c r="W119" s="83">
        <v>0.23866666666666658</v>
      </c>
      <c r="X119" s="83"/>
      <c r="Y119" s="83">
        <v>-2.1039999999999992</v>
      </c>
      <c r="Z119" s="83">
        <v>-0.71199999999999974</v>
      </c>
      <c r="AC119" s="83">
        <f t="shared" si="56"/>
        <v>7.1999999999999398E-2</v>
      </c>
      <c r="AD119" s="83">
        <f t="shared" si="57"/>
        <v>-0.18000000000000022</v>
      </c>
      <c r="AE119" s="81"/>
      <c r="AF119" s="83">
        <f t="shared" si="58"/>
        <v>0.24000000000000021</v>
      </c>
      <c r="AG119" s="83">
        <f t="shared" si="59"/>
        <v>0.25200000000000022</v>
      </c>
      <c r="AI119" s="75" t="s">
        <v>456</v>
      </c>
      <c r="AO119" s="82" t="s">
        <v>296</v>
      </c>
      <c r="AP119" s="38">
        <f t="shared" si="54"/>
        <v>-0.84890399999999988</v>
      </c>
      <c r="AQ119" s="38">
        <f t="shared" si="55"/>
        <v>-2.9666666666666452E-3</v>
      </c>
    </row>
    <row r="120" spans="7:43">
      <c r="G120" s="106"/>
      <c r="H120" s="137"/>
      <c r="M120" s="106"/>
      <c r="N120" s="137"/>
      <c r="T120" s="130"/>
      <c r="U120" s="82" t="s">
        <v>296</v>
      </c>
      <c r="V120" s="83">
        <v>-1.0720000000000001</v>
      </c>
      <c r="W120" s="83">
        <v>0.33866666666666667</v>
      </c>
      <c r="X120" s="83"/>
      <c r="Y120" s="83">
        <v>-1.9039999999999995</v>
      </c>
      <c r="Z120" s="83">
        <v>-1.0119999999999998</v>
      </c>
      <c r="AC120" s="83">
        <f t="shared" si="56"/>
        <v>-0.22800000000000042</v>
      </c>
      <c r="AD120" s="83">
        <f t="shared" si="57"/>
        <v>-8.0000000000000127E-2</v>
      </c>
      <c r="AE120" s="81"/>
      <c r="AF120" s="83">
        <f t="shared" si="58"/>
        <v>0.43999999999999995</v>
      </c>
      <c r="AG120" s="83">
        <f t="shared" si="59"/>
        <v>-4.7999999999999821E-2</v>
      </c>
      <c r="AJ120" s="104" t="s">
        <v>472</v>
      </c>
      <c r="AK120" s="104" t="s">
        <v>473</v>
      </c>
      <c r="AL120" s="104" t="s">
        <v>408</v>
      </c>
      <c r="AM120" s="104" t="s">
        <v>409</v>
      </c>
      <c r="AO120" s="82" t="s">
        <v>297</v>
      </c>
      <c r="AP120" s="38">
        <f t="shared" si="54"/>
        <v>0.15129600000000021</v>
      </c>
      <c r="AQ120" s="38">
        <f>(V121*$AK$139)+(W121*$AK$140)+(Y121*$AK$141)+(Z121*$AK$142)</f>
        <v>-3.676666666666658E-2</v>
      </c>
    </row>
    <row r="121" spans="7:43">
      <c r="T121" s="130"/>
      <c r="U121" s="82" t="s">
        <v>297</v>
      </c>
      <c r="V121" s="83">
        <v>1.1280000000000001</v>
      </c>
      <c r="W121" s="83">
        <v>0.13866666666666694</v>
      </c>
      <c r="X121" s="83"/>
      <c r="Y121" s="83">
        <v>0.8960000000000008</v>
      </c>
      <c r="Z121" s="83">
        <v>0.18800000000000017</v>
      </c>
      <c r="AC121" s="83">
        <f>V121-$H$81</f>
        <v>0.98799999999999999</v>
      </c>
      <c r="AD121" s="83">
        <f>W121-$I$81</f>
        <v>0.4240000000000001</v>
      </c>
      <c r="AE121" s="81"/>
      <c r="AF121" s="83">
        <f>Y121-$K$81</f>
        <v>0.38800000000000023</v>
      </c>
      <c r="AG121" s="83">
        <f>Z121-$L$81</f>
        <v>5.5999999999999939E-2</v>
      </c>
      <c r="AI121" s="106" t="s">
        <v>472</v>
      </c>
      <c r="AJ121" s="83">
        <f t="array" ref="AJ121:AM124">MINVERSE(AJ104:AM107)</f>
        <v>12.452463510961763</v>
      </c>
      <c r="AK121" s="83">
        <v>-8.1387293188626941</v>
      </c>
      <c r="AL121" s="83">
        <v>-11.599916975536116</v>
      </c>
      <c r="AM121" s="83">
        <v>8.3598918574917604</v>
      </c>
      <c r="AO121" s="82" t="s">
        <v>297</v>
      </c>
      <c r="AP121" s="38">
        <f t="shared" si="54"/>
        <v>0.20289600000000016</v>
      </c>
      <c r="AQ121" s="38">
        <f t="shared" si="55"/>
        <v>4.5933333333333423E-2</v>
      </c>
    </row>
    <row r="122" spans="7:43">
      <c r="T122" s="130"/>
      <c r="U122" s="82" t="s">
        <v>297</v>
      </c>
      <c r="V122" s="83">
        <v>0.52800000000000047</v>
      </c>
      <c r="W122" s="83">
        <v>0.13866666666666694</v>
      </c>
      <c r="X122" s="83"/>
      <c r="Y122" s="83">
        <v>0.69600000000000062</v>
      </c>
      <c r="Z122" s="83">
        <v>0.28800000000000026</v>
      </c>
      <c r="AC122" s="83">
        <f t="shared" ref="AC122:AC134" si="62">V122-$H$81</f>
        <v>0.38800000000000034</v>
      </c>
      <c r="AD122" s="83">
        <f t="shared" ref="AD122:AD134" si="63">W122-$I$81</f>
        <v>0.4240000000000001</v>
      </c>
      <c r="AE122" s="81"/>
      <c r="AF122" s="83">
        <f t="shared" ref="AF122:AF134" si="64">Y122-$K$81</f>
        <v>0.18800000000000006</v>
      </c>
      <c r="AG122" s="83">
        <f t="shared" ref="AG122:AG134" si="65">Z122-$L$81</f>
        <v>0.15600000000000003</v>
      </c>
      <c r="AI122" s="106" t="s">
        <v>473</v>
      </c>
      <c r="AJ122" s="83">
        <v>-8.1387293188626959</v>
      </c>
      <c r="AK122" s="83">
        <v>17.845099041431329</v>
      </c>
      <c r="AL122" s="83">
        <v>6.4777138873423068</v>
      </c>
      <c r="AM122" s="83">
        <v>-17.823448762440403</v>
      </c>
      <c r="AO122" s="82" t="s">
        <v>297</v>
      </c>
      <c r="AP122" s="38">
        <f t="shared" si="54"/>
        <v>0.26819600000000021</v>
      </c>
      <c r="AQ122" s="38">
        <f t="shared" si="55"/>
        <v>-3.8166666666666599E-2</v>
      </c>
    </row>
    <row r="123" spans="7:43">
      <c r="T123" s="130"/>
      <c r="U123" s="82" t="s">
        <v>297</v>
      </c>
      <c r="V123" s="83">
        <v>1.0280000000000005</v>
      </c>
      <c r="W123" s="83">
        <v>3.8666666666666849E-2</v>
      </c>
      <c r="X123" s="83"/>
      <c r="Y123" s="83">
        <v>1.096000000000001</v>
      </c>
      <c r="Z123" s="83">
        <v>0.28800000000000026</v>
      </c>
      <c r="AC123" s="83">
        <f t="shared" si="62"/>
        <v>0.88800000000000034</v>
      </c>
      <c r="AD123" s="83">
        <f t="shared" si="63"/>
        <v>0.32400000000000001</v>
      </c>
      <c r="AE123" s="81"/>
      <c r="AF123" s="83">
        <f t="shared" si="64"/>
        <v>0.58800000000000041</v>
      </c>
      <c r="AG123" s="83">
        <f t="shared" si="65"/>
        <v>0.15600000000000003</v>
      </c>
      <c r="AI123" s="106" t="s">
        <v>408</v>
      </c>
      <c r="AJ123" s="83">
        <v>-11.599916975536116</v>
      </c>
      <c r="AK123" s="83">
        <v>6.4777138873423059</v>
      </c>
      <c r="AL123" s="83">
        <v>17.155994111786157</v>
      </c>
      <c r="AM123" s="83">
        <v>-13.973605888242373</v>
      </c>
      <c r="AO123" s="82" t="s">
        <v>297</v>
      </c>
      <c r="AP123" s="38">
        <f t="shared" ref="AP123:AP155" si="66">(V124*$AJ$139)+(W124*$AJ$140)+(Y124*$AJ$141)+(Z124*$AJ$142)</f>
        <v>0.2799960000000003</v>
      </c>
      <c r="AQ123" s="38">
        <f t="shared" ref="AQ123:AQ155" si="67">(V124*$AK$139)+(W124*$AK$140)+(Y124*$AK$141)+(Z124*$AK$142)</f>
        <v>-0.17406666666666662</v>
      </c>
    </row>
    <row r="124" spans="7:43">
      <c r="T124" s="130"/>
      <c r="U124" s="82" t="s">
        <v>297</v>
      </c>
      <c r="V124" s="83">
        <v>-0.37199999999999989</v>
      </c>
      <c r="W124" s="83">
        <v>-0.76133333333333342</v>
      </c>
      <c r="X124" s="83"/>
      <c r="Y124" s="83">
        <v>0.19600000000000062</v>
      </c>
      <c r="Z124" s="83">
        <v>8.80000000000003E-2</v>
      </c>
      <c r="AC124" s="83">
        <f t="shared" si="62"/>
        <v>-0.51200000000000001</v>
      </c>
      <c r="AD124" s="83">
        <f t="shared" si="63"/>
        <v>-0.47600000000000026</v>
      </c>
      <c r="AE124" s="81"/>
      <c r="AF124" s="83">
        <f t="shared" si="64"/>
        <v>-0.31199999999999994</v>
      </c>
      <c r="AG124" s="83">
        <f t="shared" si="65"/>
        <v>-4.3999999999999928E-2</v>
      </c>
      <c r="AI124" s="106" t="s">
        <v>409</v>
      </c>
      <c r="AJ124" s="83">
        <v>8.3598918574917604</v>
      </c>
      <c r="AK124" s="83">
        <v>-17.823448762440403</v>
      </c>
      <c r="AL124" s="83">
        <v>-13.973605888242369</v>
      </c>
      <c r="AM124" s="83">
        <v>52.277574561295516</v>
      </c>
      <c r="AO124" s="82" t="s">
        <v>297</v>
      </c>
      <c r="AP124" s="38">
        <f t="shared" si="66"/>
        <v>0.30549600000000021</v>
      </c>
      <c r="AQ124" s="38">
        <f t="shared" si="67"/>
        <v>-8.2766666666666655E-2</v>
      </c>
    </row>
    <row r="125" spans="7:43">
      <c r="T125" s="130"/>
      <c r="U125" s="82" t="s">
        <v>297</v>
      </c>
      <c r="V125" s="83">
        <v>0.62800000000000011</v>
      </c>
      <c r="W125" s="83">
        <v>-0.26133333333333342</v>
      </c>
      <c r="X125" s="83"/>
      <c r="Y125" s="83">
        <v>0.79600000000000026</v>
      </c>
      <c r="Z125" s="83">
        <v>0.28800000000000026</v>
      </c>
      <c r="AC125" s="83">
        <f t="shared" si="62"/>
        <v>0.48799999999999999</v>
      </c>
      <c r="AD125" s="83">
        <f t="shared" si="63"/>
        <v>2.3999999999999744E-2</v>
      </c>
      <c r="AE125" s="81"/>
      <c r="AF125" s="83">
        <f t="shared" si="64"/>
        <v>0.2879999999999997</v>
      </c>
      <c r="AG125" s="83">
        <f t="shared" si="65"/>
        <v>0.15600000000000003</v>
      </c>
      <c r="AO125" s="82" t="s">
        <v>297</v>
      </c>
      <c r="AP125" s="38">
        <f t="shared" si="66"/>
        <v>0.25329600000000024</v>
      </c>
      <c r="AQ125" s="38">
        <f t="shared" si="67"/>
        <v>-5.8666666666666652E-2</v>
      </c>
    </row>
    <row r="126" spans="7:43">
      <c r="T126" s="130"/>
      <c r="U126" s="82" t="s">
        <v>297</v>
      </c>
      <c r="V126" s="83">
        <v>-0.17199999999999971</v>
      </c>
      <c r="W126" s="83">
        <v>-0.26133333333333342</v>
      </c>
      <c r="X126" s="83"/>
      <c r="Y126" s="83">
        <v>0.69600000000000062</v>
      </c>
      <c r="Z126" s="83">
        <v>8.80000000000003E-2</v>
      </c>
      <c r="AC126" s="83">
        <f t="shared" si="62"/>
        <v>-0.31199999999999983</v>
      </c>
      <c r="AD126" s="83">
        <f t="shared" si="63"/>
        <v>2.3999999999999744E-2</v>
      </c>
      <c r="AE126" s="81"/>
      <c r="AF126" s="83">
        <f t="shared" si="64"/>
        <v>0.18800000000000006</v>
      </c>
      <c r="AG126" s="83">
        <f t="shared" si="65"/>
        <v>-4.3999999999999928E-2</v>
      </c>
      <c r="AO126" s="82" t="s">
        <v>297</v>
      </c>
      <c r="AP126" s="38">
        <f t="shared" si="66"/>
        <v>0.27479600000000037</v>
      </c>
      <c r="AQ126" s="38">
        <f t="shared" si="67"/>
        <v>0.10313333333333338</v>
      </c>
    </row>
    <row r="127" spans="7:43">
      <c r="T127" s="130"/>
      <c r="U127" s="82" t="s">
        <v>297</v>
      </c>
      <c r="V127" s="83">
        <v>0.42799999999999994</v>
      </c>
      <c r="W127" s="83">
        <v>0.23866666666666658</v>
      </c>
      <c r="X127" s="83"/>
      <c r="Y127" s="83">
        <v>0.8960000000000008</v>
      </c>
      <c r="Z127" s="83">
        <v>0.38800000000000034</v>
      </c>
      <c r="AC127" s="83">
        <f t="shared" si="62"/>
        <v>0.28799999999999981</v>
      </c>
      <c r="AD127" s="83">
        <f t="shared" si="63"/>
        <v>0.5239999999999998</v>
      </c>
      <c r="AE127" s="81"/>
      <c r="AF127" s="83">
        <f t="shared" si="64"/>
        <v>0.38800000000000023</v>
      </c>
      <c r="AG127" s="83">
        <f t="shared" si="65"/>
        <v>0.25600000000000012</v>
      </c>
      <c r="AI127" s="75" t="s">
        <v>457</v>
      </c>
      <c r="AO127" s="82" t="s">
        <v>297</v>
      </c>
      <c r="AP127" s="38">
        <f t="shared" si="66"/>
        <v>2.2496000000000183E-2</v>
      </c>
      <c r="AQ127" s="38">
        <f t="shared" si="67"/>
        <v>-0.14656666666666662</v>
      </c>
    </row>
    <row r="128" spans="7:43">
      <c r="T128" s="130"/>
      <c r="U128" s="82" t="s">
        <v>297</v>
      </c>
      <c r="V128" s="83">
        <v>-0.97199999999999953</v>
      </c>
      <c r="W128" s="83">
        <v>-0.66133333333333333</v>
      </c>
      <c r="X128" s="83"/>
      <c r="Y128" s="83">
        <v>-0.50399999999999956</v>
      </c>
      <c r="Z128" s="83">
        <v>-0.21199999999999974</v>
      </c>
      <c r="AC128" s="83">
        <f t="shared" si="62"/>
        <v>-1.1119999999999997</v>
      </c>
      <c r="AD128" s="83">
        <f t="shared" si="63"/>
        <v>-0.37600000000000017</v>
      </c>
      <c r="AE128" s="81"/>
      <c r="AF128" s="83">
        <f t="shared" si="64"/>
        <v>-1.012</v>
      </c>
      <c r="AG128" s="83">
        <f t="shared" si="65"/>
        <v>-0.34399999999999997</v>
      </c>
      <c r="AJ128" s="104" t="s">
        <v>472</v>
      </c>
      <c r="AK128" s="104" t="s">
        <v>473</v>
      </c>
      <c r="AL128" s="104" t="s">
        <v>408</v>
      </c>
      <c r="AM128" s="104" t="s">
        <v>409</v>
      </c>
      <c r="AO128" s="82" t="s">
        <v>297</v>
      </c>
      <c r="AP128" s="38">
        <f t="shared" si="66"/>
        <v>0.18259600000000023</v>
      </c>
      <c r="AQ128" s="38">
        <f t="shared" si="67"/>
        <v>-0.11126666666666657</v>
      </c>
    </row>
    <row r="129" spans="20:43">
      <c r="T129" s="130"/>
      <c r="U129" s="82" t="s">
        <v>297</v>
      </c>
      <c r="V129" s="83">
        <v>0.72799999999999976</v>
      </c>
      <c r="W129" s="83">
        <v>-0.16133333333333333</v>
      </c>
      <c r="X129" s="83"/>
      <c r="Y129" s="83">
        <v>0.79600000000000026</v>
      </c>
      <c r="Z129" s="83">
        <v>8.80000000000003E-2</v>
      </c>
      <c r="AC129" s="83">
        <f t="shared" si="62"/>
        <v>0.58799999999999963</v>
      </c>
      <c r="AD129" s="83">
        <f t="shared" si="63"/>
        <v>0.12399999999999983</v>
      </c>
      <c r="AE129" s="81"/>
      <c r="AF129" s="83">
        <f t="shared" si="64"/>
        <v>0.2879999999999997</v>
      </c>
      <c r="AG129" s="83">
        <f t="shared" si="65"/>
        <v>-4.3999999999999928E-2</v>
      </c>
      <c r="AI129" s="106" t="s">
        <v>472</v>
      </c>
      <c r="AJ129" s="83">
        <f t="array" ref="AJ129:AM132">MMULT(AJ121:AM124,AJ112:AM115)</f>
        <v>-2.5888825157653557</v>
      </c>
      <c r="AK129" s="83">
        <v>1.0094967566419266</v>
      </c>
      <c r="AL129" s="83">
        <v>-7.0383118010295096</v>
      </c>
      <c r="AM129" s="83">
        <v>-2.9924800539278547</v>
      </c>
      <c r="AO129" s="82" t="s">
        <v>297</v>
      </c>
      <c r="AP129" s="38">
        <f t="shared" si="66"/>
        <v>0.23899600000000013</v>
      </c>
      <c r="AQ129" s="38">
        <f t="shared" si="67"/>
        <v>-3.2666666666665914E-3</v>
      </c>
    </row>
    <row r="130" spans="20:43">
      <c r="T130" s="130"/>
      <c r="U130" s="82" t="s">
        <v>297</v>
      </c>
      <c r="V130" s="83">
        <v>-0.67199999999999971</v>
      </c>
      <c r="W130" s="83">
        <v>-0.36133333333333306</v>
      </c>
      <c r="X130" s="83"/>
      <c r="Y130" s="83">
        <v>9.6000000000000529E-2</v>
      </c>
      <c r="Z130" s="83">
        <v>0.18800000000000017</v>
      </c>
      <c r="AC130" s="83">
        <f t="shared" si="62"/>
        <v>-0.81199999999999983</v>
      </c>
      <c r="AD130" s="83">
        <f t="shared" si="63"/>
        <v>-7.5999999999999901E-2</v>
      </c>
      <c r="AE130" s="81"/>
      <c r="AF130" s="83">
        <f t="shared" si="64"/>
        <v>-0.41200000000000003</v>
      </c>
      <c r="AG130" s="83">
        <f t="shared" si="65"/>
        <v>5.5999999999999939E-2</v>
      </c>
      <c r="AI130" s="106" t="s">
        <v>473</v>
      </c>
      <c r="AJ130" s="83">
        <v>-7.5359014423327313</v>
      </c>
      <c r="AK130" s="83">
        <v>3.3186832746895654</v>
      </c>
      <c r="AL130" s="83">
        <v>-20.697494204451125</v>
      </c>
      <c r="AM130" s="83">
        <v>-8.6615813400183619</v>
      </c>
      <c r="AO130" s="82" t="s">
        <v>297</v>
      </c>
      <c r="AP130" s="38">
        <f t="shared" si="66"/>
        <v>0.1452960000000002</v>
      </c>
      <c r="AQ130" s="38">
        <f t="shared" si="67"/>
        <v>-0.27796666666666658</v>
      </c>
    </row>
    <row r="131" spans="20:43">
      <c r="T131" s="130"/>
      <c r="U131" s="82" t="s">
        <v>297</v>
      </c>
      <c r="V131" s="83">
        <v>-0.87199999999999989</v>
      </c>
      <c r="W131" s="83">
        <v>-1.0613333333333332</v>
      </c>
      <c r="X131" s="83"/>
      <c r="Y131" s="83">
        <v>-0.30399999999999938</v>
      </c>
      <c r="Z131" s="83">
        <v>-0.21199999999999974</v>
      </c>
      <c r="AC131" s="83">
        <f t="shared" si="62"/>
        <v>-1.012</v>
      </c>
      <c r="AD131" s="83">
        <f t="shared" si="63"/>
        <v>-0.77600000000000002</v>
      </c>
      <c r="AE131" s="81"/>
      <c r="AF131" s="83">
        <f t="shared" si="64"/>
        <v>-0.81199999999999994</v>
      </c>
      <c r="AG131" s="83">
        <f t="shared" si="65"/>
        <v>-0.34399999999999997</v>
      </c>
      <c r="AI131" s="106" t="s">
        <v>408</v>
      </c>
      <c r="AJ131" s="83">
        <v>6.7999940285391469</v>
      </c>
      <c r="AK131" s="83">
        <v>-2.8302236671884549</v>
      </c>
      <c r="AL131" s="83">
        <v>18.585561932785453</v>
      </c>
      <c r="AM131" s="83">
        <v>7.8369946783120037</v>
      </c>
      <c r="AO131" s="82" t="s">
        <v>297</v>
      </c>
      <c r="AP131" s="38">
        <f t="shared" si="66"/>
        <v>0.22529600000000022</v>
      </c>
      <c r="AQ131" s="38">
        <f t="shared" si="67"/>
        <v>3.9433333333333362E-2</v>
      </c>
    </row>
    <row r="132" spans="20:43">
      <c r="T132" s="130"/>
      <c r="U132" s="82" t="s">
        <v>297</v>
      </c>
      <c r="V132" s="83">
        <v>2.8000000000000469E-2</v>
      </c>
      <c r="W132" s="83">
        <v>-6.133333333333324E-2</v>
      </c>
      <c r="X132" s="83"/>
      <c r="Y132" s="83">
        <v>0.3960000000000008</v>
      </c>
      <c r="Z132" s="83">
        <v>0.28800000000000026</v>
      </c>
      <c r="AC132" s="83">
        <f t="shared" si="62"/>
        <v>-0.11199999999999963</v>
      </c>
      <c r="AD132" s="83">
        <f t="shared" si="63"/>
        <v>0.22399999999999992</v>
      </c>
      <c r="AE132" s="81"/>
      <c r="AF132" s="83">
        <f t="shared" si="64"/>
        <v>-0.11199999999999977</v>
      </c>
      <c r="AG132" s="83">
        <f t="shared" si="65"/>
        <v>0.15600000000000003</v>
      </c>
      <c r="AI132" s="106" t="s">
        <v>409</v>
      </c>
      <c r="AJ132" s="83">
        <v>15.664130017715058</v>
      </c>
      <c r="AK132" s="83">
        <v>-6.3083609725371632</v>
      </c>
      <c r="AL132" s="83">
        <v>42.696182537118602</v>
      </c>
      <c r="AM132" s="83">
        <v>18.080213213773227</v>
      </c>
      <c r="AO132" s="82" t="s">
        <v>297</v>
      </c>
      <c r="AP132" s="38">
        <f t="shared" si="66"/>
        <v>0.12529600000000019</v>
      </c>
      <c r="AQ132" s="38">
        <f t="shared" si="67"/>
        <v>-0.32086666666666652</v>
      </c>
    </row>
    <row r="133" spans="20:43">
      <c r="T133" s="130"/>
      <c r="U133" s="82" t="s">
        <v>297</v>
      </c>
      <c r="V133" s="83">
        <v>0.12800000000000011</v>
      </c>
      <c r="W133" s="83">
        <v>-0.86133333333333306</v>
      </c>
      <c r="X133" s="83"/>
      <c r="Y133" s="83">
        <v>0.19600000000000062</v>
      </c>
      <c r="Z133" s="83">
        <v>-0.21199999999999974</v>
      </c>
      <c r="AC133" s="83">
        <f t="shared" si="62"/>
        <v>-1.1999999999999983E-2</v>
      </c>
      <c r="AD133" s="83">
        <f t="shared" si="63"/>
        <v>-0.57599999999999985</v>
      </c>
      <c r="AE133" s="81"/>
      <c r="AF133" s="83">
        <f t="shared" si="64"/>
        <v>-0.31199999999999994</v>
      </c>
      <c r="AG133" s="83">
        <f t="shared" si="65"/>
        <v>-0.34399999999999997</v>
      </c>
      <c r="AO133" s="82" t="s">
        <v>297</v>
      </c>
      <c r="AP133" s="38">
        <f t="shared" si="66"/>
        <v>0.28719600000000028</v>
      </c>
      <c r="AQ133" s="38">
        <f t="shared" si="67"/>
        <v>-4.5466666666666621E-2</v>
      </c>
    </row>
    <row r="134" spans="20:43">
      <c r="T134" s="130"/>
      <c r="U134" s="82" t="s">
        <v>297</v>
      </c>
      <c r="V134" s="83">
        <v>0.22799999999999976</v>
      </c>
      <c r="W134" s="83">
        <v>-0.16133333333333333</v>
      </c>
      <c r="X134" s="83"/>
      <c r="Y134" s="83">
        <v>0.8960000000000008</v>
      </c>
      <c r="Z134" s="83">
        <v>0.18800000000000017</v>
      </c>
      <c r="AC134" s="83">
        <f t="shared" si="62"/>
        <v>8.7999999999999662E-2</v>
      </c>
      <c r="AD134" s="83">
        <f t="shared" si="63"/>
        <v>0.12399999999999983</v>
      </c>
      <c r="AE134" s="81"/>
      <c r="AF134" s="83">
        <f t="shared" si="64"/>
        <v>0.38800000000000023</v>
      </c>
      <c r="AG134" s="83">
        <f t="shared" si="65"/>
        <v>5.5999999999999939E-2</v>
      </c>
      <c r="AO134" s="82" t="s">
        <v>297</v>
      </c>
      <c r="AP134" s="38">
        <f t="shared" si="66"/>
        <v>5.6596000000000292E-2</v>
      </c>
      <c r="AQ134" s="38">
        <f t="shared" si="67"/>
        <v>3.7333333333334114E-3</v>
      </c>
    </row>
    <row r="135" spans="20:43">
      <c r="T135" s="130"/>
      <c r="U135" s="82" t="s">
        <v>297</v>
      </c>
      <c r="V135" s="83">
        <v>-0.27200000000000024</v>
      </c>
      <c r="W135" s="83">
        <v>-0.16133333333333333</v>
      </c>
      <c r="X135" s="83"/>
      <c r="Y135" s="83">
        <v>-0.20399999999999929</v>
      </c>
      <c r="Z135" s="83">
        <v>8.80000000000003E-2</v>
      </c>
      <c r="AC135" s="83">
        <f>V135-$H$81</f>
        <v>-0.41200000000000037</v>
      </c>
      <c r="AD135" s="83">
        <f>W135-$I$81</f>
        <v>0.12399999999999983</v>
      </c>
      <c r="AE135" s="81"/>
      <c r="AF135" s="83">
        <f>Y135-$K$81</f>
        <v>-0.71199999999999986</v>
      </c>
      <c r="AG135" s="83">
        <f>Z135-$L$81</f>
        <v>-4.3999999999999928E-2</v>
      </c>
      <c r="AI135" s="103" t="s">
        <v>386</v>
      </c>
      <c r="AO135" s="82" t="s">
        <v>297</v>
      </c>
      <c r="AP135" s="38">
        <f t="shared" si="66"/>
        <v>0.13599600000000023</v>
      </c>
      <c r="AQ135" s="38">
        <f t="shared" si="67"/>
        <v>-3.1566666666666625E-2</v>
      </c>
    </row>
    <row r="136" spans="20:43">
      <c r="T136" s="130"/>
      <c r="U136" s="82" t="s">
        <v>297</v>
      </c>
      <c r="V136" s="83">
        <v>0.82800000000000029</v>
      </c>
      <c r="W136" s="83">
        <v>3.8666666666666849E-2</v>
      </c>
      <c r="X136" s="83"/>
      <c r="Y136" s="83">
        <v>0.59600000000000097</v>
      </c>
      <c r="Z136" s="83">
        <v>0.18800000000000017</v>
      </c>
      <c r="AC136" s="83">
        <f t="shared" ref="AC136:AC145" si="68">V136-$H$81</f>
        <v>0.68800000000000017</v>
      </c>
      <c r="AD136" s="83">
        <f t="shared" ref="AD136:AD145" si="69">W136-$I$81</f>
        <v>0.32400000000000001</v>
      </c>
      <c r="AE136" s="81"/>
      <c r="AF136" s="83">
        <f t="shared" ref="AF136:AF145" si="70">Y136-$K$81</f>
        <v>8.8000000000000411E-2</v>
      </c>
      <c r="AG136" s="83">
        <f t="shared" ref="AG136:AG145" si="71">Z136-$L$81</f>
        <v>5.5999999999999939E-2</v>
      </c>
      <c r="AO136" s="82" t="s">
        <v>297</v>
      </c>
      <c r="AP136" s="38">
        <f t="shared" si="66"/>
        <v>0.30869600000000025</v>
      </c>
      <c r="AQ136" s="38">
        <f t="shared" si="67"/>
        <v>5.7733333333333428E-2</v>
      </c>
    </row>
    <row r="137" spans="20:43">
      <c r="T137" s="130"/>
      <c r="U137" s="82" t="s">
        <v>297</v>
      </c>
      <c r="V137" s="83">
        <v>-0.27200000000000024</v>
      </c>
      <c r="W137" s="83">
        <v>-6.133333333333324E-2</v>
      </c>
      <c r="X137" s="83"/>
      <c r="Y137" s="83">
        <v>0.69600000000000062</v>
      </c>
      <c r="Z137" s="83">
        <v>0.28800000000000026</v>
      </c>
      <c r="AC137" s="83">
        <f t="shared" si="68"/>
        <v>-0.41200000000000037</v>
      </c>
      <c r="AD137" s="83">
        <f t="shared" si="69"/>
        <v>0.22399999999999992</v>
      </c>
      <c r="AE137" s="81"/>
      <c r="AF137" s="83">
        <f t="shared" si="70"/>
        <v>0.18800000000000006</v>
      </c>
      <c r="AG137" s="83">
        <f t="shared" si="71"/>
        <v>0.15600000000000003</v>
      </c>
      <c r="AI137" s="75" t="s">
        <v>328</v>
      </c>
      <c r="AO137" s="82" t="s">
        <v>297</v>
      </c>
      <c r="AP137" s="38">
        <f t="shared" si="66"/>
        <v>4.8196000000000114E-2</v>
      </c>
      <c r="AQ137" s="38">
        <f t="shared" si="67"/>
        <v>-0.15946666666666653</v>
      </c>
    </row>
    <row r="138" spans="20:43">
      <c r="T138" s="130"/>
      <c r="U138" s="82" t="s">
        <v>297</v>
      </c>
      <c r="V138" s="83">
        <v>-7.2000000000000064E-2</v>
      </c>
      <c r="W138" s="83">
        <v>-0.36133333333333306</v>
      </c>
      <c r="X138" s="83"/>
      <c r="Y138" s="83">
        <v>0.29600000000000026</v>
      </c>
      <c r="Z138" s="83">
        <v>-0.21199999999999974</v>
      </c>
      <c r="AC138" s="83">
        <f t="shared" si="68"/>
        <v>-0.21200000000000016</v>
      </c>
      <c r="AD138" s="83">
        <f t="shared" si="69"/>
        <v>-7.5999999999999901E-2</v>
      </c>
      <c r="AE138" s="81"/>
      <c r="AF138" s="83">
        <f t="shared" si="70"/>
        <v>-0.2120000000000003</v>
      </c>
      <c r="AG138" s="83">
        <f t="shared" si="71"/>
        <v>-0.34399999999999997</v>
      </c>
      <c r="AJ138" s="104" t="s">
        <v>387</v>
      </c>
      <c r="AK138" s="104" t="s">
        <v>388</v>
      </c>
      <c r="AL138" s="104" t="s">
        <v>389</v>
      </c>
      <c r="AM138" s="104" t="s">
        <v>390</v>
      </c>
      <c r="AO138" s="82" t="s">
        <v>297</v>
      </c>
      <c r="AP138" s="38">
        <f t="shared" si="66"/>
        <v>0.44309600000000016</v>
      </c>
      <c r="AQ138" s="38">
        <f t="shared" si="67"/>
        <v>-0.22946666666666654</v>
      </c>
    </row>
    <row r="139" spans="20:43">
      <c r="T139" s="130"/>
      <c r="U139" s="82" t="s">
        <v>297</v>
      </c>
      <c r="V139" s="83">
        <v>0.32800000000000029</v>
      </c>
      <c r="W139" s="83">
        <v>-0.86133333333333306</v>
      </c>
      <c r="X139" s="83"/>
      <c r="Y139" s="83">
        <v>0.69600000000000062</v>
      </c>
      <c r="Z139" s="83">
        <v>0.28800000000000026</v>
      </c>
      <c r="AC139" s="83">
        <f t="shared" si="68"/>
        <v>0.18800000000000019</v>
      </c>
      <c r="AD139" s="83">
        <f t="shared" si="69"/>
        <v>-0.57599999999999985</v>
      </c>
      <c r="AE139" s="81"/>
      <c r="AF139" s="83">
        <f t="shared" si="70"/>
        <v>0.18800000000000006</v>
      </c>
      <c r="AG139" s="83">
        <f t="shared" si="71"/>
        <v>0.15600000000000003</v>
      </c>
      <c r="AI139" s="106" t="s">
        <v>472</v>
      </c>
      <c r="AJ139" s="83">
        <v>-7.5999999999999998E-2</v>
      </c>
      <c r="AK139" s="83">
        <v>-8.7999999999999995E-2</v>
      </c>
      <c r="AL139" s="83" t="s">
        <v>169</v>
      </c>
      <c r="AM139" s="83" t="s">
        <v>169</v>
      </c>
      <c r="AO139" s="82" t="s">
        <v>297</v>
      </c>
      <c r="AP139" s="38">
        <f t="shared" si="66"/>
        <v>0.11439600000000028</v>
      </c>
      <c r="AQ139" s="38">
        <f t="shared" si="67"/>
        <v>-0.17056666666666653</v>
      </c>
    </row>
    <row r="140" spans="20:43">
      <c r="T140" s="130"/>
      <c r="U140" s="82" t="s">
        <v>297</v>
      </c>
      <c r="V140" s="83">
        <v>-0.27200000000000024</v>
      </c>
      <c r="W140" s="83">
        <v>-0.56133333333333324</v>
      </c>
      <c r="X140" s="83"/>
      <c r="Y140" s="83">
        <v>9.6000000000000529E-2</v>
      </c>
      <c r="Z140" s="83">
        <v>-0.11199999999999966</v>
      </c>
      <c r="AC140" s="83">
        <f t="shared" si="68"/>
        <v>-0.41200000000000037</v>
      </c>
      <c r="AD140" s="83">
        <f t="shared" si="69"/>
        <v>-0.27600000000000008</v>
      </c>
      <c r="AE140" s="81"/>
      <c r="AF140" s="83">
        <f t="shared" si="70"/>
        <v>-0.41200000000000003</v>
      </c>
      <c r="AG140" s="83">
        <f t="shared" si="71"/>
        <v>-0.24399999999999988</v>
      </c>
      <c r="AI140" s="106" t="s">
        <v>473</v>
      </c>
      <c r="AJ140" s="83">
        <v>-0.22500000000000001</v>
      </c>
      <c r="AK140" s="83">
        <v>0.29299999999999998</v>
      </c>
      <c r="AL140" s="83" t="s">
        <v>169</v>
      </c>
      <c r="AM140" s="83" t="s">
        <v>169</v>
      </c>
      <c r="AO140" s="82" t="s">
        <v>297</v>
      </c>
      <c r="AP140" s="38">
        <f t="shared" si="66"/>
        <v>0.44069600000000014</v>
      </c>
      <c r="AQ140" s="38">
        <f t="shared" si="67"/>
        <v>0.15533333333333343</v>
      </c>
    </row>
    <row r="141" spans="20:43">
      <c r="T141" s="130"/>
      <c r="U141" s="82" t="s">
        <v>297</v>
      </c>
      <c r="V141" s="83">
        <v>2.8000000000000469E-2</v>
      </c>
      <c r="W141" s="83">
        <v>0.13866666666666694</v>
      </c>
      <c r="X141" s="83"/>
      <c r="Y141" s="83">
        <v>0.99600000000000044</v>
      </c>
      <c r="Z141" s="83">
        <v>0.5880000000000003</v>
      </c>
      <c r="AC141" s="83">
        <f t="shared" si="68"/>
        <v>-0.11199999999999963</v>
      </c>
      <c r="AD141" s="83">
        <f t="shared" si="69"/>
        <v>0.4240000000000001</v>
      </c>
      <c r="AE141" s="81"/>
      <c r="AF141" s="83">
        <f t="shared" si="70"/>
        <v>0.48799999999999988</v>
      </c>
      <c r="AG141" s="83">
        <f t="shared" si="71"/>
        <v>0.45600000000000007</v>
      </c>
      <c r="AI141" s="106" t="s">
        <v>408</v>
      </c>
      <c r="AJ141" s="83">
        <v>0.20200000000000001</v>
      </c>
      <c r="AK141" s="83">
        <v>-2.7E-2</v>
      </c>
      <c r="AL141" s="83" t="s">
        <v>169</v>
      </c>
      <c r="AM141" s="83" t="s">
        <v>169</v>
      </c>
      <c r="AO141" s="82" t="s">
        <v>297</v>
      </c>
      <c r="AP141" s="38">
        <f t="shared" si="66"/>
        <v>0.12189600000000031</v>
      </c>
      <c r="AQ141" s="38">
        <f t="shared" si="67"/>
        <v>-8.0366666666666614E-2</v>
      </c>
    </row>
    <row r="142" spans="20:43">
      <c r="T142" s="130"/>
      <c r="U142" s="82" t="s">
        <v>297</v>
      </c>
      <c r="V142" s="83">
        <v>0.22799999999999976</v>
      </c>
      <c r="W142" s="83">
        <v>-0.26133333333333342</v>
      </c>
      <c r="X142" s="83"/>
      <c r="Y142" s="83">
        <v>0.19600000000000062</v>
      </c>
      <c r="Z142" s="83">
        <v>8.80000000000003E-2</v>
      </c>
      <c r="AC142" s="83">
        <f t="shared" si="68"/>
        <v>8.7999999999999662E-2</v>
      </c>
      <c r="AD142" s="83">
        <f t="shared" si="69"/>
        <v>2.3999999999999744E-2</v>
      </c>
      <c r="AE142" s="81"/>
      <c r="AF142" s="83">
        <f t="shared" si="70"/>
        <v>-0.31199999999999994</v>
      </c>
      <c r="AG142" s="83">
        <f t="shared" si="71"/>
        <v>-4.3999999999999928E-2</v>
      </c>
      <c r="AI142" s="106" t="s">
        <v>409</v>
      </c>
      <c r="AJ142" s="83">
        <v>0.46400000000000002</v>
      </c>
      <c r="AK142" s="83">
        <v>0.245</v>
      </c>
      <c r="AL142" s="83" t="s">
        <v>169</v>
      </c>
      <c r="AM142" s="83" t="s">
        <v>169</v>
      </c>
      <c r="AO142" s="82" t="s">
        <v>297</v>
      </c>
      <c r="AP142" s="38">
        <f t="shared" si="66"/>
        <v>0.44879600000000031</v>
      </c>
      <c r="AQ142" s="38">
        <f t="shared" si="67"/>
        <v>-0.1611666666666666</v>
      </c>
    </row>
    <row r="143" spans="20:43">
      <c r="T143" s="130"/>
      <c r="U143" s="82" t="s">
        <v>297</v>
      </c>
      <c r="V143" s="83">
        <v>0.42799999999999994</v>
      </c>
      <c r="W143" s="83">
        <v>-0.56133333333333324</v>
      </c>
      <c r="X143" s="83"/>
      <c r="Y143" s="83">
        <v>1.096000000000001</v>
      </c>
      <c r="Z143" s="83">
        <v>0.28800000000000026</v>
      </c>
      <c r="AC143" s="83">
        <f t="shared" si="68"/>
        <v>0.28799999999999981</v>
      </c>
      <c r="AD143" s="83">
        <f t="shared" si="69"/>
        <v>-0.27600000000000008</v>
      </c>
      <c r="AE143" s="81"/>
      <c r="AF143" s="83">
        <f t="shared" si="70"/>
        <v>0.58800000000000041</v>
      </c>
      <c r="AG143" s="83">
        <f t="shared" si="71"/>
        <v>0.15600000000000003</v>
      </c>
      <c r="AO143" s="82" t="s">
        <v>297</v>
      </c>
      <c r="AP143" s="38">
        <f t="shared" si="66"/>
        <v>0.21689600000000031</v>
      </c>
      <c r="AQ143" s="38">
        <f t="shared" si="67"/>
        <v>-0.12376666666666664</v>
      </c>
    </row>
    <row r="144" spans="20:43">
      <c r="T144" s="130"/>
      <c r="U144" s="82" t="s">
        <v>297</v>
      </c>
      <c r="V144" s="83">
        <v>0.22799999999999976</v>
      </c>
      <c r="W144" s="83">
        <v>-0.26133333333333342</v>
      </c>
      <c r="X144" s="83"/>
      <c r="Y144" s="83">
        <v>0.8960000000000008</v>
      </c>
      <c r="Z144" s="83">
        <v>-1.1999999999999789E-2</v>
      </c>
      <c r="AC144" s="83">
        <f t="shared" si="68"/>
        <v>8.7999999999999662E-2</v>
      </c>
      <c r="AD144" s="83">
        <f t="shared" si="69"/>
        <v>2.3999999999999744E-2</v>
      </c>
      <c r="AE144" s="81"/>
      <c r="AF144" s="83">
        <f t="shared" si="70"/>
        <v>0.38800000000000023</v>
      </c>
      <c r="AG144" s="83">
        <f t="shared" si="71"/>
        <v>-0.14400000000000002</v>
      </c>
      <c r="AI144" s="106" t="s">
        <v>323</v>
      </c>
      <c r="AJ144" s="83">
        <v>37.161000000000001</v>
      </c>
      <c r="AK144" s="83">
        <v>0.23400000000000001</v>
      </c>
      <c r="AL144" s="83">
        <v>0</v>
      </c>
      <c r="AM144" s="83">
        <v>0</v>
      </c>
      <c r="AO144" s="82" t="s">
        <v>297</v>
      </c>
      <c r="AP144" s="38">
        <f t="shared" si="66"/>
        <v>0.13719600000000021</v>
      </c>
      <c r="AQ144" s="38">
        <f t="shared" si="67"/>
        <v>-8.5566666666666652E-2</v>
      </c>
    </row>
    <row r="145" spans="20:43">
      <c r="T145" s="130"/>
      <c r="U145" s="82" t="s">
        <v>297</v>
      </c>
      <c r="V145" s="83">
        <v>0.52800000000000047</v>
      </c>
      <c r="W145" s="83">
        <v>-0.16133333333333333</v>
      </c>
      <c r="X145" s="83"/>
      <c r="Y145" s="83">
        <v>0.49600000000000044</v>
      </c>
      <c r="Z145" s="83">
        <v>8.80000000000003E-2</v>
      </c>
      <c r="AC145" s="83">
        <f t="shared" si="68"/>
        <v>0.38800000000000034</v>
      </c>
      <c r="AD145" s="83">
        <f t="shared" si="69"/>
        <v>0.12399999999999983</v>
      </c>
      <c r="AE145" s="81"/>
      <c r="AF145" s="83">
        <f t="shared" si="70"/>
        <v>-1.2000000000000122E-2</v>
      </c>
      <c r="AG145" s="83">
        <f t="shared" si="71"/>
        <v>-4.3999999999999928E-2</v>
      </c>
      <c r="AI145" s="106" t="s">
        <v>288</v>
      </c>
      <c r="AJ145" s="83">
        <f>(AJ144/SUM($AJ$144,$AK$144,$AL$144,$AM$144))*100</f>
        <v>99.37424789410349</v>
      </c>
      <c r="AK145" s="83">
        <f>(AK144/SUM($AJ$144,$AK$144,$AL$144,$AM$144))*100</f>
        <v>0.6257521058965102</v>
      </c>
      <c r="AL145" s="83">
        <f>(AL144/SUM($AJ$144,$AK$144,$AL$144,$AM$144))*100</f>
        <v>0</v>
      </c>
      <c r="AM145" s="83">
        <f>(AM144/SUM($AJ$144,$AK$144,$AL$144,$AM$144))*100</f>
        <v>0</v>
      </c>
      <c r="AO145" s="82" t="s">
        <v>298</v>
      </c>
      <c r="AP145" s="38">
        <f t="shared" si="66"/>
        <v>0.9549960000000004</v>
      </c>
      <c r="AQ145" s="38">
        <f t="shared" si="67"/>
        <v>0.28853333333333336</v>
      </c>
    </row>
    <row r="146" spans="20:43">
      <c r="T146" s="130"/>
      <c r="U146" s="82" t="s">
        <v>298</v>
      </c>
      <c r="V146" s="83">
        <v>0.42799999999999994</v>
      </c>
      <c r="W146" s="83">
        <v>0.23866666666666658</v>
      </c>
      <c r="X146" s="83"/>
      <c r="Y146" s="83">
        <v>2.1960000000000006</v>
      </c>
      <c r="Z146" s="83">
        <v>1.2880000000000003</v>
      </c>
      <c r="AC146" s="83">
        <f>V146-$N$81</f>
        <v>-0.27600000000000013</v>
      </c>
      <c r="AD146" s="83">
        <f>W146-$O$81</f>
        <v>0.37199999999999978</v>
      </c>
      <c r="AE146" s="81"/>
      <c r="AF146" s="83">
        <f>Y146-$Q$81</f>
        <v>0.35999999999999988</v>
      </c>
      <c r="AG146" s="83">
        <f>Z146-$R$81</f>
        <v>0.45599999999999996</v>
      </c>
      <c r="AI146" s="106" t="s">
        <v>289</v>
      </c>
      <c r="AJ146" s="83">
        <f>AJ145</f>
        <v>99.37424789410349</v>
      </c>
      <c r="AK146" s="83">
        <f>AJ146+AK145</f>
        <v>100</v>
      </c>
      <c r="AL146" s="83">
        <f>AK146+AL145</f>
        <v>100</v>
      </c>
      <c r="AM146" s="83">
        <f>AL146+AM145</f>
        <v>100</v>
      </c>
      <c r="AO146" s="82" t="s">
        <v>298</v>
      </c>
      <c r="AP146" s="38">
        <f t="shared" si="66"/>
        <v>0.66779600000000006</v>
      </c>
      <c r="AQ146" s="38">
        <f t="shared" si="67"/>
        <v>3.4033333333333471E-2</v>
      </c>
    </row>
    <row r="147" spans="20:43">
      <c r="T147" s="130"/>
      <c r="U147" s="82" t="s">
        <v>298</v>
      </c>
      <c r="V147" s="83">
        <v>-7.2000000000000064E-2</v>
      </c>
      <c r="W147" s="83">
        <v>-0.36133333333333306</v>
      </c>
      <c r="X147" s="83"/>
      <c r="Y147" s="83">
        <v>1.2960000000000003</v>
      </c>
      <c r="Z147" s="83">
        <v>0.68800000000000017</v>
      </c>
      <c r="AC147" s="83">
        <f>V147-$N$81</f>
        <v>-0.77600000000000013</v>
      </c>
      <c r="AD147" s="83">
        <f>W147-$O$81</f>
        <v>-0.22799999999999984</v>
      </c>
      <c r="AE147" s="81"/>
      <c r="AF147" s="83">
        <f>Y147-$Q$81</f>
        <v>-0.54000000000000048</v>
      </c>
      <c r="AG147" s="83">
        <f>Z147-$R$81</f>
        <v>-0.14400000000000013</v>
      </c>
      <c r="AO147" s="82" t="s">
        <v>298</v>
      </c>
      <c r="AP147" s="38">
        <f t="shared" si="66"/>
        <v>0.75589600000000035</v>
      </c>
      <c r="AQ147" s="38">
        <f t="shared" si="67"/>
        <v>3.4933333333333455E-2</v>
      </c>
    </row>
    <row r="148" spans="20:43">
      <c r="T148" s="130"/>
      <c r="U148" s="82" t="s">
        <v>298</v>
      </c>
      <c r="V148" s="83">
        <v>1.2279999999999998</v>
      </c>
      <c r="W148" s="83">
        <v>-6.133333333333324E-2</v>
      </c>
      <c r="X148" s="83"/>
      <c r="Y148" s="83">
        <v>2.096000000000001</v>
      </c>
      <c r="Z148" s="83">
        <v>0.88800000000000034</v>
      </c>
      <c r="AC148" s="83">
        <f t="shared" ref="AC148:AC170" si="72">V148-$N$81</f>
        <v>0.52399999999999969</v>
      </c>
      <c r="AD148" s="83">
        <f t="shared" ref="AD148:AD170" si="73">W148-$O$81</f>
        <v>7.1999999999999981E-2</v>
      </c>
      <c r="AE148" s="81"/>
      <c r="AF148" s="83">
        <f>Y148-$Q$81</f>
        <v>0.26000000000000023</v>
      </c>
      <c r="AG148" s="83">
        <f t="shared" ref="AG148:AG170" si="74">Z148-$R$81</f>
        <v>5.600000000000005E-2</v>
      </c>
      <c r="AO148" s="82" t="s">
        <v>298</v>
      </c>
      <c r="AP148" s="38">
        <f t="shared" si="66"/>
        <v>0.63939600000000019</v>
      </c>
      <c r="AQ148" s="38">
        <f t="shared" si="67"/>
        <v>1.0633333333333411E-2</v>
      </c>
    </row>
    <row r="149" spans="20:43">
      <c r="T149" s="130"/>
      <c r="U149" s="82" t="s">
        <v>298</v>
      </c>
      <c r="V149" s="83">
        <v>0.42799999999999994</v>
      </c>
      <c r="W149" s="83">
        <v>-0.16133333333333333</v>
      </c>
      <c r="X149" s="83"/>
      <c r="Y149" s="83">
        <v>1.7960000000000003</v>
      </c>
      <c r="Z149" s="83">
        <v>0.5880000000000003</v>
      </c>
      <c r="AC149" s="83">
        <f t="shared" si="72"/>
        <v>-0.27600000000000013</v>
      </c>
      <c r="AD149" s="83">
        <f t="shared" si="73"/>
        <v>-2.8000000000000108E-2</v>
      </c>
      <c r="AE149" s="81"/>
      <c r="AF149" s="83">
        <f t="shared" ref="AF149:AF170" si="75">Y149-$Q$81</f>
        <v>-4.000000000000048E-2</v>
      </c>
      <c r="AG149" s="83">
        <f t="shared" si="74"/>
        <v>-0.24399999999999999</v>
      </c>
      <c r="AO149" s="82" t="s">
        <v>298</v>
      </c>
      <c r="AP149" s="38">
        <f t="shared" si="66"/>
        <v>0.82769600000000032</v>
      </c>
      <c r="AQ149" s="38">
        <f t="shared" si="67"/>
        <v>0.11493333333333344</v>
      </c>
    </row>
    <row r="150" spans="20:43">
      <c r="T150" s="130"/>
      <c r="U150" s="82" t="s">
        <v>298</v>
      </c>
      <c r="V150" s="83">
        <v>0.62800000000000011</v>
      </c>
      <c r="W150" s="83">
        <v>-6.133333333333324E-2</v>
      </c>
      <c r="X150" s="83"/>
      <c r="Y150" s="83">
        <v>1.9960000000000004</v>
      </c>
      <c r="Z150" s="83">
        <v>0.98800000000000043</v>
      </c>
      <c r="AC150" s="83">
        <f t="shared" si="72"/>
        <v>-7.5999999999999956E-2</v>
      </c>
      <c r="AD150" s="83">
        <f t="shared" si="73"/>
        <v>7.1999999999999981E-2</v>
      </c>
      <c r="AE150" s="81"/>
      <c r="AF150" s="83">
        <f t="shared" si="75"/>
        <v>0.1599999999999997</v>
      </c>
      <c r="AG150" s="83">
        <f t="shared" si="74"/>
        <v>0.15600000000000014</v>
      </c>
      <c r="AO150" s="82" t="s">
        <v>298</v>
      </c>
      <c r="AP150" s="38">
        <f t="shared" si="66"/>
        <v>0.85929600000000028</v>
      </c>
      <c r="AQ150" s="38">
        <f t="shared" si="67"/>
        <v>-2.7966666666666529E-2</v>
      </c>
    </row>
    <row r="151" spans="20:43">
      <c r="T151" s="130"/>
      <c r="U151" s="82" t="s">
        <v>298</v>
      </c>
      <c r="V151" s="83">
        <v>1.7279999999999998</v>
      </c>
      <c r="W151" s="83">
        <v>-6.133333333333324E-2</v>
      </c>
      <c r="X151" s="83"/>
      <c r="Y151" s="83">
        <v>2.7960000000000003</v>
      </c>
      <c r="Z151" s="83">
        <v>0.88800000000000034</v>
      </c>
      <c r="AC151" s="83">
        <f t="shared" si="72"/>
        <v>1.0239999999999996</v>
      </c>
      <c r="AD151" s="83">
        <f t="shared" si="73"/>
        <v>7.1999999999999981E-2</v>
      </c>
      <c r="AE151" s="81"/>
      <c r="AF151" s="83">
        <f t="shared" si="75"/>
        <v>0.95999999999999952</v>
      </c>
      <c r="AG151" s="83">
        <f t="shared" si="74"/>
        <v>5.600000000000005E-2</v>
      </c>
      <c r="AO151" s="82" t="s">
        <v>298</v>
      </c>
      <c r="AP151" s="38">
        <f t="shared" si="66"/>
        <v>0.56719600000000014</v>
      </c>
      <c r="AQ151" s="38">
        <f t="shared" si="67"/>
        <v>2.1833333333333371E-2</v>
      </c>
    </row>
    <row r="152" spans="20:43">
      <c r="T152" s="130"/>
      <c r="U152" s="82" t="s">
        <v>298</v>
      </c>
      <c r="V152" s="83">
        <v>-0.97199999999999953</v>
      </c>
      <c r="W152" s="83">
        <v>-0.56133333333333324</v>
      </c>
      <c r="X152" s="83"/>
      <c r="Y152" s="83">
        <v>0.69600000000000062</v>
      </c>
      <c r="Z152" s="83">
        <v>0.48800000000000021</v>
      </c>
      <c r="AC152" s="83">
        <f t="shared" si="72"/>
        <v>-1.6759999999999997</v>
      </c>
      <c r="AD152" s="83">
        <f t="shared" si="73"/>
        <v>-0.42800000000000005</v>
      </c>
      <c r="AE152" s="81"/>
      <c r="AF152" s="83">
        <f t="shared" si="75"/>
        <v>-1.1400000000000001</v>
      </c>
      <c r="AG152" s="83">
        <f t="shared" si="74"/>
        <v>-0.34400000000000008</v>
      </c>
      <c r="AO152" s="82" t="s">
        <v>298</v>
      </c>
      <c r="AP152" s="38">
        <f t="shared" si="66"/>
        <v>0.7047960000000002</v>
      </c>
      <c r="AQ152" s="38">
        <f t="shared" si="67"/>
        <v>-9.6266666666666584E-2</v>
      </c>
    </row>
    <row r="153" spans="20:43">
      <c r="T153" s="130"/>
      <c r="U153" s="82" t="s">
        <v>298</v>
      </c>
      <c r="V153" s="83">
        <v>1.4279999999999999</v>
      </c>
      <c r="W153" s="83">
        <v>-0.16133333333333333</v>
      </c>
      <c r="X153" s="83"/>
      <c r="Y153" s="83">
        <v>2.4960000000000004</v>
      </c>
      <c r="Z153" s="83">
        <v>0.5880000000000003</v>
      </c>
      <c r="AC153" s="83">
        <f t="shared" si="72"/>
        <v>0.72399999999999987</v>
      </c>
      <c r="AD153" s="83">
        <f t="shared" si="73"/>
        <v>-2.8000000000000108E-2</v>
      </c>
      <c r="AE153" s="81"/>
      <c r="AF153" s="83">
        <f t="shared" si="75"/>
        <v>0.6599999999999997</v>
      </c>
      <c r="AG153" s="83">
        <f t="shared" si="74"/>
        <v>-0.24399999999999999</v>
      </c>
      <c r="AO153" s="82" t="s">
        <v>298</v>
      </c>
      <c r="AP153" s="38">
        <f t="shared" si="66"/>
        <v>0.73939600000000016</v>
      </c>
      <c r="AQ153" s="38">
        <f t="shared" si="67"/>
        <v>-0.14716666666666656</v>
      </c>
    </row>
    <row r="154" spans="20:43">
      <c r="T154" s="130"/>
      <c r="U154" s="82" t="s">
        <v>298</v>
      </c>
      <c r="V154" s="83">
        <v>0.82800000000000029</v>
      </c>
      <c r="W154" s="83">
        <v>-0.56133333333333324</v>
      </c>
      <c r="X154" s="83"/>
      <c r="Y154" s="83">
        <v>1.9960000000000004</v>
      </c>
      <c r="Z154" s="83">
        <v>0.5880000000000003</v>
      </c>
      <c r="AC154" s="83">
        <f t="shared" si="72"/>
        <v>0.12400000000000022</v>
      </c>
      <c r="AD154" s="83">
        <f t="shared" si="73"/>
        <v>-0.42800000000000005</v>
      </c>
      <c r="AE154" s="81"/>
      <c r="AF154" s="83">
        <f t="shared" si="75"/>
        <v>0.1599999999999997</v>
      </c>
      <c r="AG154" s="83">
        <f t="shared" si="74"/>
        <v>-0.24399999999999999</v>
      </c>
      <c r="AO154" s="82" t="s">
        <v>298</v>
      </c>
      <c r="AP154" s="38">
        <f t="shared" si="66"/>
        <v>0.83929600000000026</v>
      </c>
      <c r="AQ154" s="38">
        <f t="shared" si="67"/>
        <v>0.29453333333333342</v>
      </c>
    </row>
    <row r="155" spans="20:43">
      <c r="T155" s="130"/>
      <c r="U155" s="82" t="s">
        <v>298</v>
      </c>
      <c r="V155" s="83">
        <v>1.3280000000000003</v>
      </c>
      <c r="W155" s="83">
        <v>0.53866666666666685</v>
      </c>
      <c r="X155" s="83"/>
      <c r="Y155" s="83">
        <v>2.2960000000000003</v>
      </c>
      <c r="Z155" s="83">
        <v>1.2880000000000003</v>
      </c>
      <c r="AC155" s="83">
        <f t="shared" si="72"/>
        <v>0.62400000000000022</v>
      </c>
      <c r="AD155" s="83">
        <f t="shared" si="73"/>
        <v>0.67200000000000004</v>
      </c>
      <c r="AE155" s="81"/>
      <c r="AF155" s="83">
        <f t="shared" si="75"/>
        <v>0.45999999999999952</v>
      </c>
      <c r="AG155" s="83">
        <f t="shared" si="74"/>
        <v>0.45599999999999996</v>
      </c>
      <c r="AO155" s="82" t="s">
        <v>298</v>
      </c>
      <c r="AP155" s="38">
        <f t="shared" si="66"/>
        <v>0.54849600000000009</v>
      </c>
      <c r="AQ155" s="38">
        <f t="shared" si="67"/>
        <v>0.14343333333333347</v>
      </c>
    </row>
    <row r="156" spans="20:43">
      <c r="T156" s="130"/>
      <c r="U156" s="82" t="s">
        <v>298</v>
      </c>
      <c r="V156" s="83">
        <v>0.62800000000000011</v>
      </c>
      <c r="W156" s="83">
        <v>0.13866666666666694</v>
      </c>
      <c r="X156" s="83"/>
      <c r="Y156" s="83">
        <v>1.2960000000000003</v>
      </c>
      <c r="Z156" s="83">
        <v>0.78800000000000026</v>
      </c>
      <c r="AC156" s="83">
        <f t="shared" si="72"/>
        <v>-7.5999999999999956E-2</v>
      </c>
      <c r="AD156" s="83">
        <f t="shared" si="73"/>
        <v>0.27200000000000013</v>
      </c>
      <c r="AE156" s="81"/>
      <c r="AF156" s="83">
        <f t="shared" si="75"/>
        <v>-0.54000000000000048</v>
      </c>
      <c r="AG156" s="83">
        <f t="shared" si="74"/>
        <v>-4.4000000000000039E-2</v>
      </c>
      <c r="AO156" s="82" t="s">
        <v>298</v>
      </c>
      <c r="AP156" s="38">
        <f t="shared" ref="AP156:AP169" si="76">(V157*$AJ$139)+(W157*$AJ$140)+(Y157*$AJ$141)+(Z157*$AJ$142)</f>
        <v>0.66259600000000018</v>
      </c>
      <c r="AQ156" s="38">
        <f t="shared" ref="AQ156:AQ169" si="77">(V157*$AK$139)+(W157*$AK$140)+(Y157*$AK$141)+(Z157*$AK$142)</f>
        <v>-2.4166666666666586E-2</v>
      </c>
    </row>
    <row r="157" spans="20:43">
      <c r="T157" s="130"/>
      <c r="U157" s="82" t="s">
        <v>298</v>
      </c>
      <c r="V157" s="83">
        <v>0.52800000000000047</v>
      </c>
      <c r="W157" s="83">
        <v>-0.36133333333333306</v>
      </c>
      <c r="X157" s="83"/>
      <c r="Y157" s="83">
        <v>1.4960000000000004</v>
      </c>
      <c r="Z157" s="83">
        <v>0.68800000000000017</v>
      </c>
      <c r="AC157" s="83">
        <f t="shared" si="72"/>
        <v>-0.1759999999999996</v>
      </c>
      <c r="AD157" s="83">
        <f t="shared" si="73"/>
        <v>-0.22799999999999984</v>
      </c>
      <c r="AE157" s="81"/>
      <c r="AF157" s="83">
        <f t="shared" si="75"/>
        <v>-0.3400000000000003</v>
      </c>
      <c r="AG157" s="83">
        <f t="shared" si="74"/>
        <v>-0.14400000000000013</v>
      </c>
      <c r="AO157" s="82" t="s">
        <v>298</v>
      </c>
      <c r="AP157" s="38">
        <f t="shared" si="76"/>
        <v>0.69789600000000029</v>
      </c>
      <c r="AQ157" s="38">
        <f t="shared" si="77"/>
        <v>7.2133333333333438E-2</v>
      </c>
    </row>
    <row r="158" spans="20:43">
      <c r="T158" s="130"/>
      <c r="U158" s="82" t="s">
        <v>298</v>
      </c>
      <c r="V158" s="83">
        <v>0.92799999999999994</v>
      </c>
      <c r="W158" s="83">
        <v>-6.133333333333324E-2</v>
      </c>
      <c r="X158" s="83"/>
      <c r="Y158" s="83">
        <v>1.6960000000000006</v>
      </c>
      <c r="Z158" s="83">
        <v>0.88800000000000034</v>
      </c>
      <c r="AC158" s="83">
        <f t="shared" si="72"/>
        <v>0.22399999999999987</v>
      </c>
      <c r="AD158" s="83">
        <f t="shared" si="73"/>
        <v>7.1999999999999981E-2</v>
      </c>
      <c r="AE158" s="81"/>
      <c r="AF158" s="83">
        <f t="shared" si="75"/>
        <v>-0.14000000000000012</v>
      </c>
      <c r="AG158" s="83">
        <f t="shared" si="74"/>
        <v>5.600000000000005E-2</v>
      </c>
      <c r="AO158" s="82" t="s">
        <v>298</v>
      </c>
      <c r="AP158" s="38">
        <f t="shared" si="76"/>
        <v>0.74659600000000026</v>
      </c>
      <c r="AQ158" s="38">
        <f t="shared" si="77"/>
        <v>1.1433333333333406E-2</v>
      </c>
    </row>
    <row r="159" spans="20:43">
      <c r="T159" s="130"/>
      <c r="U159" s="82" t="s">
        <v>298</v>
      </c>
      <c r="V159" s="83">
        <v>-0.17199999999999971</v>
      </c>
      <c r="W159" s="83">
        <v>-0.56133333333333324</v>
      </c>
      <c r="X159" s="83"/>
      <c r="Y159" s="83">
        <v>1.1960000000000006</v>
      </c>
      <c r="Z159" s="83">
        <v>0.78800000000000026</v>
      </c>
      <c r="AC159" s="83">
        <f t="shared" si="72"/>
        <v>-0.87599999999999978</v>
      </c>
      <c r="AD159" s="83">
        <f t="shared" si="73"/>
        <v>-0.42800000000000005</v>
      </c>
      <c r="AE159" s="81"/>
      <c r="AF159" s="83">
        <f t="shared" si="75"/>
        <v>-0.64000000000000012</v>
      </c>
      <c r="AG159" s="83">
        <f t="shared" si="74"/>
        <v>-4.4000000000000039E-2</v>
      </c>
      <c r="AO159" s="82" t="s">
        <v>298</v>
      </c>
      <c r="AP159" s="38">
        <f t="shared" si="76"/>
        <v>0.87729600000000019</v>
      </c>
      <c r="AQ159" s="38">
        <f t="shared" si="77"/>
        <v>0.18583333333333335</v>
      </c>
    </row>
    <row r="160" spans="20:43">
      <c r="T160" s="130"/>
      <c r="U160" s="82" t="s">
        <v>298</v>
      </c>
      <c r="V160" s="83">
        <v>-7.2000000000000064E-2</v>
      </c>
      <c r="W160" s="83">
        <v>-0.26133333333333342</v>
      </c>
      <c r="X160" s="83"/>
      <c r="Y160" s="83">
        <v>1.2960000000000003</v>
      </c>
      <c r="Z160" s="83">
        <v>1.1880000000000002</v>
      </c>
      <c r="AC160" s="83">
        <f t="shared" si="72"/>
        <v>-0.77600000000000013</v>
      </c>
      <c r="AD160" s="83">
        <f t="shared" si="73"/>
        <v>-0.1280000000000002</v>
      </c>
      <c r="AE160" s="81"/>
      <c r="AF160" s="83">
        <f t="shared" si="75"/>
        <v>-0.54000000000000048</v>
      </c>
      <c r="AG160" s="83">
        <f t="shared" si="74"/>
        <v>0.35599999999999987</v>
      </c>
      <c r="AO160" s="82" t="s">
        <v>298</v>
      </c>
      <c r="AP160" s="38">
        <f t="shared" si="76"/>
        <v>0.73569600000000013</v>
      </c>
      <c r="AQ160" s="38">
        <f t="shared" si="77"/>
        <v>0.22033333333333338</v>
      </c>
    </row>
    <row r="161" spans="20:43">
      <c r="T161" s="130"/>
      <c r="U161" s="82" t="s">
        <v>298</v>
      </c>
      <c r="V161" s="83">
        <v>0.52800000000000047</v>
      </c>
      <c r="W161" s="83">
        <v>0.13866666666666694</v>
      </c>
      <c r="X161" s="83"/>
      <c r="Y161" s="83">
        <v>1.4960000000000004</v>
      </c>
      <c r="Z161" s="83">
        <v>1.0880000000000001</v>
      </c>
      <c r="AC161" s="83">
        <f t="shared" si="72"/>
        <v>-0.1759999999999996</v>
      </c>
      <c r="AD161" s="83">
        <f t="shared" si="73"/>
        <v>0.27200000000000013</v>
      </c>
      <c r="AE161" s="81"/>
      <c r="AF161" s="83">
        <f t="shared" si="75"/>
        <v>-0.3400000000000003</v>
      </c>
      <c r="AG161" s="83">
        <f t="shared" si="74"/>
        <v>0.25599999999999978</v>
      </c>
      <c r="AO161" s="82" t="s">
        <v>298</v>
      </c>
      <c r="AP161" s="38">
        <f t="shared" si="76"/>
        <v>0.58149600000000023</v>
      </c>
      <c r="AQ161" s="38">
        <f t="shared" si="77"/>
        <v>2.5033333333333421E-2</v>
      </c>
    </row>
    <row r="162" spans="20:43">
      <c r="T162" s="130"/>
      <c r="U162" s="82" t="s">
        <v>298</v>
      </c>
      <c r="V162" s="83">
        <v>0.62800000000000011</v>
      </c>
      <c r="W162" s="83">
        <v>-6.133333333333324E-2</v>
      </c>
      <c r="X162" s="83"/>
      <c r="Y162" s="83">
        <v>1.6960000000000006</v>
      </c>
      <c r="Z162" s="83">
        <v>0.5880000000000003</v>
      </c>
      <c r="AC162" s="83">
        <f t="shared" si="72"/>
        <v>-7.5999999999999956E-2</v>
      </c>
      <c r="AD162" s="83">
        <f t="shared" si="73"/>
        <v>7.1999999999999981E-2</v>
      </c>
      <c r="AE162" s="81"/>
      <c r="AF162" s="83">
        <f t="shared" si="75"/>
        <v>-0.14000000000000012</v>
      </c>
      <c r="AG162" s="83">
        <f t="shared" si="74"/>
        <v>-0.24399999999999999</v>
      </c>
      <c r="AO162" s="82" t="s">
        <v>298</v>
      </c>
      <c r="AP162" s="38">
        <f t="shared" si="76"/>
        <v>0.7382960000000004</v>
      </c>
      <c r="AQ162" s="38">
        <f t="shared" si="77"/>
        <v>0.21943333333333337</v>
      </c>
    </row>
    <row r="163" spans="20:43">
      <c r="T163" s="130"/>
      <c r="U163" s="82" t="s">
        <v>298</v>
      </c>
      <c r="V163" s="83">
        <v>1.8280000000000003</v>
      </c>
      <c r="W163" s="83">
        <v>0.73866666666666658</v>
      </c>
      <c r="X163" s="83"/>
      <c r="Y163" s="83">
        <v>2.8960000000000008</v>
      </c>
      <c r="Z163" s="83">
        <v>0.98800000000000043</v>
      </c>
      <c r="AC163" s="83">
        <f t="shared" si="72"/>
        <v>1.1240000000000001</v>
      </c>
      <c r="AD163" s="83">
        <f t="shared" si="73"/>
        <v>0.87199999999999978</v>
      </c>
      <c r="AE163" s="81"/>
      <c r="AF163" s="83">
        <f t="shared" si="75"/>
        <v>1.06</v>
      </c>
      <c r="AG163" s="83">
        <f t="shared" si="74"/>
        <v>0.15600000000000014</v>
      </c>
      <c r="AO163" s="82" t="s">
        <v>298</v>
      </c>
      <c r="AP163" s="38">
        <f t="shared" si="76"/>
        <v>1.0950960000000003</v>
      </c>
      <c r="AQ163" s="38">
        <f t="shared" si="77"/>
        <v>-0.11306666666666665</v>
      </c>
    </row>
    <row r="164" spans="20:43">
      <c r="T164" s="130"/>
      <c r="U164" s="82" t="s">
        <v>298</v>
      </c>
      <c r="V164" s="83">
        <v>1.8280000000000003</v>
      </c>
      <c r="W164" s="83">
        <v>-0.46133333333333315</v>
      </c>
      <c r="X164" s="83"/>
      <c r="Y164" s="83">
        <v>3.096000000000001</v>
      </c>
      <c r="Z164" s="83">
        <v>1.0880000000000001</v>
      </c>
      <c r="AC164" s="83">
        <f t="shared" si="72"/>
        <v>1.1240000000000001</v>
      </c>
      <c r="AD164" s="83">
        <f t="shared" si="73"/>
        <v>-0.32799999999999996</v>
      </c>
      <c r="AE164" s="81"/>
      <c r="AF164" s="83">
        <f t="shared" si="75"/>
        <v>1.2600000000000002</v>
      </c>
      <c r="AG164" s="83">
        <f t="shared" si="74"/>
        <v>0.25599999999999978</v>
      </c>
      <c r="AO164" s="82" t="s">
        <v>298</v>
      </c>
      <c r="AP164" s="38">
        <f t="shared" si="76"/>
        <v>0.55929600000000013</v>
      </c>
      <c r="AQ164" s="38">
        <f t="shared" si="77"/>
        <v>-0.22536666666666649</v>
      </c>
    </row>
    <row r="165" spans="20:43">
      <c r="T165" s="130"/>
      <c r="U165" s="82" t="s">
        <v>298</v>
      </c>
      <c r="V165" s="83">
        <v>0.12800000000000011</v>
      </c>
      <c r="W165" s="83">
        <v>-0.86133333333333306</v>
      </c>
      <c r="X165" s="83"/>
      <c r="Y165" s="83">
        <v>1.1960000000000006</v>
      </c>
      <c r="Z165" s="83">
        <v>0.28800000000000026</v>
      </c>
      <c r="AC165" s="83">
        <f t="shared" si="72"/>
        <v>-0.57599999999999996</v>
      </c>
      <c r="AD165" s="83">
        <f t="shared" si="73"/>
        <v>-0.72799999999999987</v>
      </c>
      <c r="AE165" s="81"/>
      <c r="AF165" s="83">
        <f t="shared" si="75"/>
        <v>-0.64000000000000012</v>
      </c>
      <c r="AG165" s="83">
        <f t="shared" si="74"/>
        <v>-0.54400000000000004</v>
      </c>
      <c r="AO165" s="82" t="s">
        <v>298</v>
      </c>
      <c r="AP165" s="38">
        <f t="shared" si="76"/>
        <v>0.77849600000000008</v>
      </c>
      <c r="AQ165" s="38">
        <f t="shared" si="77"/>
        <v>0.16553333333333337</v>
      </c>
    </row>
    <row r="166" spans="20:43">
      <c r="T166" s="130"/>
      <c r="U166" s="82" t="s">
        <v>298</v>
      </c>
      <c r="V166" s="83">
        <v>1.0280000000000005</v>
      </c>
      <c r="W166" s="83">
        <v>0.13866666666666694</v>
      </c>
      <c r="X166" s="83"/>
      <c r="Y166" s="83">
        <v>1.8960000000000008</v>
      </c>
      <c r="Z166" s="83">
        <v>1.0880000000000001</v>
      </c>
      <c r="AC166" s="83">
        <f t="shared" si="72"/>
        <v>0.3240000000000004</v>
      </c>
      <c r="AD166" s="83">
        <f t="shared" si="73"/>
        <v>0.27200000000000013</v>
      </c>
      <c r="AE166" s="81"/>
      <c r="AF166" s="83">
        <f t="shared" si="75"/>
        <v>6.0000000000000053E-2</v>
      </c>
      <c r="AG166" s="83">
        <f t="shared" si="74"/>
        <v>0.25599999999999978</v>
      </c>
      <c r="AO166" s="82" t="s">
        <v>298</v>
      </c>
      <c r="AP166" s="38">
        <f t="shared" si="76"/>
        <v>0.66649600000000042</v>
      </c>
      <c r="AQ166" s="38">
        <f t="shared" si="77"/>
        <v>0.11083333333333337</v>
      </c>
    </row>
    <row r="167" spans="20:43">
      <c r="T167" s="130"/>
      <c r="U167" s="82" t="s">
        <v>298</v>
      </c>
      <c r="V167" s="83">
        <v>-0.27200000000000024</v>
      </c>
      <c r="W167" s="83">
        <v>-0.26133333333333342</v>
      </c>
      <c r="X167" s="83"/>
      <c r="Y167" s="83">
        <v>1.096000000000001</v>
      </c>
      <c r="Z167" s="83">
        <v>0.78800000000000026</v>
      </c>
      <c r="AC167" s="83">
        <f t="shared" si="72"/>
        <v>-0.97600000000000031</v>
      </c>
      <c r="AD167" s="83">
        <f t="shared" si="73"/>
        <v>-0.1280000000000002</v>
      </c>
      <c r="AE167" s="81"/>
      <c r="AF167" s="83">
        <f t="shared" si="75"/>
        <v>-0.73999999999999977</v>
      </c>
      <c r="AG167" s="83">
        <f t="shared" si="74"/>
        <v>-4.4000000000000039E-2</v>
      </c>
      <c r="AO167" s="82" t="s">
        <v>298</v>
      </c>
      <c r="AP167" s="38">
        <f t="shared" si="76"/>
        <v>0.87049600000000038</v>
      </c>
      <c r="AQ167" s="38">
        <f t="shared" si="77"/>
        <v>-0.12256666666666666</v>
      </c>
    </row>
    <row r="168" spans="20:43">
      <c r="T168" s="130"/>
      <c r="U168" s="82" t="s">
        <v>298</v>
      </c>
      <c r="V168" s="83">
        <v>1.8280000000000003</v>
      </c>
      <c r="W168" s="83">
        <v>-0.26133333333333342</v>
      </c>
      <c r="X168" s="83"/>
      <c r="Y168" s="83">
        <v>2.8960000000000008</v>
      </c>
      <c r="Z168" s="83">
        <v>0.78800000000000026</v>
      </c>
      <c r="AC168" s="83">
        <f t="shared" si="72"/>
        <v>1.1240000000000001</v>
      </c>
      <c r="AD168" s="83">
        <f t="shared" si="73"/>
        <v>-0.1280000000000002</v>
      </c>
      <c r="AE168" s="81"/>
      <c r="AF168" s="83">
        <f t="shared" si="75"/>
        <v>1.06</v>
      </c>
      <c r="AG168" s="83">
        <f t="shared" si="74"/>
        <v>-4.4000000000000039E-2</v>
      </c>
      <c r="AO168" s="82" t="s">
        <v>298</v>
      </c>
      <c r="AP168" s="38">
        <f t="shared" si="76"/>
        <v>0.54299600000000026</v>
      </c>
      <c r="AQ168" s="38">
        <f t="shared" si="77"/>
        <v>-2.9066666666666546E-2</v>
      </c>
    </row>
    <row r="169" spans="20:43">
      <c r="T169" s="130"/>
      <c r="U169" s="82" t="s">
        <v>298</v>
      </c>
      <c r="V169" s="83">
        <v>0.42799999999999994</v>
      </c>
      <c r="W169" s="83">
        <v>-0.36133333333333306</v>
      </c>
      <c r="X169" s="83"/>
      <c r="Y169" s="83">
        <v>1.096000000000001</v>
      </c>
      <c r="Z169" s="83">
        <v>0.5880000000000003</v>
      </c>
      <c r="AC169" s="83">
        <f t="shared" si="72"/>
        <v>-0.27600000000000013</v>
      </c>
      <c r="AD169" s="83">
        <f t="shared" si="73"/>
        <v>-0.22799999999999984</v>
      </c>
      <c r="AE169" s="81"/>
      <c r="AF169" s="83">
        <f t="shared" si="75"/>
        <v>-0.73999999999999977</v>
      </c>
      <c r="AG169" s="83">
        <f t="shared" si="74"/>
        <v>-0.24399999999999999</v>
      </c>
      <c r="AO169" s="82" t="s">
        <v>298</v>
      </c>
      <c r="AP169" s="38">
        <f t="shared" si="76"/>
        <v>0.67839600000000033</v>
      </c>
      <c r="AQ169" s="38">
        <f t="shared" si="77"/>
        <v>0.16343333333333335</v>
      </c>
    </row>
    <row r="170" spans="20:43">
      <c r="T170" s="130"/>
      <c r="U170" s="82" t="s">
        <v>298</v>
      </c>
      <c r="V170" s="83">
        <v>0.82800000000000029</v>
      </c>
      <c r="W170" s="83">
        <v>0.23866666666666658</v>
      </c>
      <c r="X170" s="83"/>
      <c r="Y170" s="83">
        <v>1.8960000000000008</v>
      </c>
      <c r="Z170" s="83">
        <v>0.88800000000000034</v>
      </c>
      <c r="AC170" s="83">
        <f t="shared" si="72"/>
        <v>0.12400000000000022</v>
      </c>
      <c r="AD170" s="83">
        <f t="shared" si="73"/>
        <v>0.37199999999999978</v>
      </c>
      <c r="AE170" s="81"/>
      <c r="AF170" s="83">
        <f t="shared" si="75"/>
        <v>6.0000000000000053E-2</v>
      </c>
      <c r="AG170" s="83">
        <f t="shared" si="74"/>
        <v>5.600000000000005E-2</v>
      </c>
    </row>
    <row r="171" spans="20:43">
      <c r="T171" s="130"/>
    </row>
    <row r="172" spans="20:43">
      <c r="T172" s="130"/>
    </row>
    <row r="173" spans="20:43">
      <c r="T173" s="130"/>
    </row>
  </sheetData>
  <mergeCells count="26">
    <mergeCell ref="V4:AA4"/>
    <mergeCell ref="AC4:AH4"/>
    <mergeCell ref="BH6:BI6"/>
    <mergeCell ref="V94:W94"/>
    <mergeCell ref="Y94:Z94"/>
    <mergeCell ref="AC94:AD94"/>
    <mergeCell ref="AF94:AG94"/>
    <mergeCell ref="B3:F3"/>
    <mergeCell ref="H3:L3"/>
    <mergeCell ref="N3:R3"/>
    <mergeCell ref="B4:C4"/>
    <mergeCell ref="E4:F4"/>
    <mergeCell ref="H4:I4"/>
    <mergeCell ref="K4:L4"/>
    <mergeCell ref="N4:O4"/>
    <mergeCell ref="Q4:R4"/>
    <mergeCell ref="B45:R45"/>
    <mergeCell ref="B46:F46"/>
    <mergeCell ref="H46:L46"/>
    <mergeCell ref="N46:R46"/>
    <mergeCell ref="B47:C47"/>
    <mergeCell ref="E47:F47"/>
    <mergeCell ref="H47:I47"/>
    <mergeCell ref="K47:L47"/>
    <mergeCell ref="N47:O47"/>
    <mergeCell ref="Q47:R47"/>
  </mergeCells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G161"/>
  <sheetViews>
    <sheetView topLeftCell="K1" workbookViewId="0">
      <selection activeCell="V51" sqref="V51"/>
    </sheetView>
  </sheetViews>
  <sheetFormatPr defaultColWidth="10.75" defaultRowHeight="12.75"/>
  <cols>
    <col min="1" max="1" width="13.75" style="75" customWidth="1"/>
    <col min="2" max="2" width="6.875" style="75" customWidth="1"/>
    <col min="3" max="7" width="6.125" style="75" customWidth="1"/>
    <col min="8" max="8" width="6.875" style="75" customWidth="1"/>
    <col min="9" max="13" width="6.125" style="75" customWidth="1"/>
    <col min="14" max="14" width="6.875" style="75" customWidth="1"/>
    <col min="15" max="18" width="6.125" style="75" customWidth="1"/>
    <col min="19" max="38" width="4.75" style="75" customWidth="1"/>
    <col min="39" max="40" width="6.75" style="75" customWidth="1"/>
    <col min="41" max="41" width="6.625" style="75" customWidth="1"/>
    <col min="42" max="45" width="5.75" style="75" customWidth="1"/>
    <col min="46" max="46" width="6.75" style="75" customWidth="1"/>
    <col min="47" max="82" width="4.75" style="75" customWidth="1"/>
    <col min="83" max="83" width="6" style="75" customWidth="1"/>
    <col min="84" max="86" width="4.75" style="75" customWidth="1"/>
    <col min="87" max="16384" width="10.75" style="75"/>
  </cols>
  <sheetData>
    <row r="1" spans="1:85">
      <c r="A1" s="124" t="s">
        <v>233</v>
      </c>
    </row>
    <row r="4" spans="1:85">
      <c r="B4" s="185" t="s">
        <v>164</v>
      </c>
      <c r="C4" s="185"/>
      <c r="D4" s="185"/>
      <c r="E4" s="185"/>
      <c r="F4" s="185"/>
      <c r="H4" s="185" t="s">
        <v>148</v>
      </c>
      <c r="I4" s="185"/>
      <c r="J4" s="185"/>
      <c r="K4" s="185"/>
      <c r="L4" s="185"/>
      <c r="N4" s="185" t="s">
        <v>149</v>
      </c>
      <c r="O4" s="185"/>
      <c r="P4" s="185"/>
      <c r="Q4" s="185"/>
      <c r="R4" s="185"/>
      <c r="S4" s="136"/>
      <c r="T4" s="136"/>
      <c r="U4" s="75" t="s">
        <v>93</v>
      </c>
      <c r="AU4" s="75" t="s">
        <v>454</v>
      </c>
    </row>
    <row r="5" spans="1:85">
      <c r="B5" s="186" t="s">
        <v>163</v>
      </c>
      <c r="C5" s="186"/>
      <c r="E5" s="186" t="s">
        <v>41</v>
      </c>
      <c r="F5" s="186"/>
      <c r="H5" s="186" t="s">
        <v>163</v>
      </c>
      <c r="I5" s="186"/>
      <c r="K5" s="186" t="s">
        <v>41</v>
      </c>
      <c r="L5" s="186"/>
      <c r="N5" s="186" t="s">
        <v>163</v>
      </c>
      <c r="O5" s="186"/>
      <c r="Q5" s="186" t="s">
        <v>41</v>
      </c>
      <c r="R5" s="186"/>
      <c r="S5" s="112"/>
      <c r="T5" s="112"/>
    </row>
    <row r="6" spans="1:85">
      <c r="B6" s="81" t="s">
        <v>333</v>
      </c>
      <c r="C6" s="81" t="s">
        <v>334</v>
      </c>
      <c r="D6" s="81"/>
      <c r="E6" s="81" t="s">
        <v>333</v>
      </c>
      <c r="F6" s="81" t="s">
        <v>334</v>
      </c>
      <c r="H6" s="81" t="s">
        <v>333</v>
      </c>
      <c r="I6" s="81" t="s">
        <v>334</v>
      </c>
      <c r="J6" s="81"/>
      <c r="K6" s="81" t="s">
        <v>333</v>
      </c>
      <c r="L6" s="81" t="s">
        <v>334</v>
      </c>
      <c r="N6" s="81" t="s">
        <v>333</v>
      </c>
      <c r="O6" s="81" t="s">
        <v>334</v>
      </c>
      <c r="P6" s="81"/>
      <c r="Q6" s="81" t="s">
        <v>333</v>
      </c>
      <c r="R6" s="81" t="s">
        <v>334</v>
      </c>
      <c r="S6" s="81"/>
      <c r="T6" s="81"/>
      <c r="U6"/>
      <c r="V6" s="186" t="s">
        <v>162</v>
      </c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O6" s="85" t="s">
        <v>258</v>
      </c>
      <c r="AP6" s="85"/>
      <c r="AQ6" s="85"/>
      <c r="AR6" s="85"/>
      <c r="AS6" s="85"/>
      <c r="AT6" s="96"/>
      <c r="AU6" s="127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7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7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9"/>
    </row>
    <row r="7" spans="1:85">
      <c r="V7" s="185" t="s">
        <v>164</v>
      </c>
      <c r="W7" s="185"/>
      <c r="X7" s="185"/>
      <c r="Y7" s="185"/>
      <c r="Z7" s="185"/>
      <c r="AB7" s="185" t="s">
        <v>148</v>
      </c>
      <c r="AC7" s="185"/>
      <c r="AD7" s="185"/>
      <c r="AE7" s="185"/>
      <c r="AF7" s="185"/>
      <c r="AH7" s="185" t="s">
        <v>149</v>
      </c>
      <c r="AI7" s="185"/>
      <c r="AJ7" s="185"/>
      <c r="AK7" s="185"/>
      <c r="AL7" s="185"/>
      <c r="AP7" s="75" t="s">
        <v>60</v>
      </c>
      <c r="AQ7" s="75" t="s">
        <v>61</v>
      </c>
      <c r="AR7" s="75" t="s">
        <v>62</v>
      </c>
      <c r="AS7" s="75" t="s">
        <v>63</v>
      </c>
      <c r="AU7" s="130"/>
      <c r="AV7" s="82" t="s">
        <v>244</v>
      </c>
      <c r="BH7" s="130"/>
      <c r="BI7" s="82" t="s">
        <v>245</v>
      </c>
      <c r="BU7" s="130"/>
      <c r="BV7" s="82" t="s">
        <v>246</v>
      </c>
      <c r="CG7" s="116"/>
    </row>
    <row r="8" spans="1:85">
      <c r="A8" s="75">
        <v>1</v>
      </c>
      <c r="B8" s="123">
        <v>5.0999999999999996</v>
      </c>
      <c r="C8" s="123">
        <v>3.5</v>
      </c>
      <c r="D8" s="123"/>
      <c r="E8" s="123">
        <v>1.4</v>
      </c>
      <c r="F8" s="123">
        <v>0.2</v>
      </c>
      <c r="H8" s="87">
        <v>7</v>
      </c>
      <c r="I8" s="87">
        <v>3.2</v>
      </c>
      <c r="K8" s="87">
        <v>4.7</v>
      </c>
      <c r="L8" s="87">
        <v>1.4</v>
      </c>
      <c r="N8" s="87">
        <v>6.3</v>
      </c>
      <c r="O8" s="87">
        <v>3.3</v>
      </c>
      <c r="Q8" s="87">
        <v>6</v>
      </c>
      <c r="R8" s="87">
        <v>2.5</v>
      </c>
      <c r="S8" s="87"/>
      <c r="T8" s="87"/>
      <c r="V8" s="186" t="s">
        <v>163</v>
      </c>
      <c r="W8" s="186"/>
      <c r="Y8" s="186" t="s">
        <v>41</v>
      </c>
      <c r="Z8" s="186"/>
      <c r="AB8" s="186" t="s">
        <v>163</v>
      </c>
      <c r="AC8" s="186"/>
      <c r="AE8" s="186" t="s">
        <v>41</v>
      </c>
      <c r="AF8" s="186"/>
      <c r="AH8" s="186" t="s">
        <v>163</v>
      </c>
      <c r="AI8" s="186"/>
      <c r="AK8" s="186" t="s">
        <v>41</v>
      </c>
      <c r="AL8" s="186"/>
      <c r="AO8" s="75" t="s">
        <v>60</v>
      </c>
      <c r="AP8" s="86">
        <f>(((B20-1)*C44)+((H20-1)*I44)+((N20-1)*O44))/((B20+H20+N20)-3)</f>
        <v>0.42018518518518505</v>
      </c>
      <c r="AQ8" s="86">
        <f>(((C20-1)*D44)+((I20-1)*J44)+((O20-1)*P44))/((C20+I20+O20)-3)</f>
        <v>0.1342962962962963</v>
      </c>
      <c r="AR8" s="86">
        <f>(((D20-1)*E44)+((J20-1)*K44)+((P20-1)*Q44))/((D20+J20+P20)-3)</f>
        <v>0.26744444444444443</v>
      </c>
      <c r="AS8" s="86">
        <f>(((E20-1)*F44)+((K20-1)*L44)+((Q20-1)*R44))/((E20+K20+Q20)-3)</f>
        <v>5.8518518518518518E-2</v>
      </c>
      <c r="AT8" s="86"/>
      <c r="AU8" s="130"/>
      <c r="AV8" s="75" t="s">
        <v>452</v>
      </c>
      <c r="BC8" s="81" t="s">
        <v>242</v>
      </c>
      <c r="BE8" s="186" t="s">
        <v>243</v>
      </c>
      <c r="BF8" s="186"/>
      <c r="BH8" s="130"/>
      <c r="BI8" s="75" t="s">
        <v>452</v>
      </c>
      <c r="BP8" s="81" t="s">
        <v>242</v>
      </c>
      <c r="BR8" s="186" t="s">
        <v>243</v>
      </c>
      <c r="BS8" s="186"/>
      <c r="BU8" s="130"/>
      <c r="BV8" s="75" t="s">
        <v>452</v>
      </c>
      <c r="CC8" s="81" t="s">
        <v>242</v>
      </c>
      <c r="CE8" s="186" t="s">
        <v>243</v>
      </c>
      <c r="CF8" s="186"/>
      <c r="CG8" s="116"/>
    </row>
    <row r="9" spans="1:85">
      <c r="A9" s="75">
        <v>2</v>
      </c>
      <c r="B9" s="123">
        <v>4.9000000000000004</v>
      </c>
      <c r="C9" s="123">
        <v>3</v>
      </c>
      <c r="D9" s="123"/>
      <c r="E9" s="123">
        <v>1.4</v>
      </c>
      <c r="F9" s="123">
        <v>0.2</v>
      </c>
      <c r="H9" s="87">
        <v>6.4</v>
      </c>
      <c r="I9" s="87">
        <v>3.2</v>
      </c>
      <c r="K9" s="87">
        <v>4.5</v>
      </c>
      <c r="L9" s="87">
        <v>1.5</v>
      </c>
      <c r="N9" s="87">
        <v>5.8</v>
      </c>
      <c r="O9" s="87">
        <v>2.7</v>
      </c>
      <c r="Q9" s="87">
        <v>5.0999999999999996</v>
      </c>
      <c r="R9" s="87">
        <v>1.9</v>
      </c>
      <c r="S9" s="87"/>
      <c r="T9" s="87"/>
      <c r="V9" s="81" t="s">
        <v>333</v>
      </c>
      <c r="W9" s="81" t="s">
        <v>334</v>
      </c>
      <c r="X9" s="81"/>
      <c r="Y9" s="81" t="s">
        <v>333</v>
      </c>
      <c r="Z9" s="81" t="s">
        <v>334</v>
      </c>
      <c r="AB9" s="81" t="s">
        <v>333</v>
      </c>
      <c r="AC9" s="81" t="s">
        <v>334</v>
      </c>
      <c r="AD9" s="81"/>
      <c r="AE9" s="81" t="s">
        <v>333</v>
      </c>
      <c r="AF9" s="81" t="s">
        <v>334</v>
      </c>
      <c r="AH9" s="81" t="s">
        <v>333</v>
      </c>
      <c r="AI9" s="81" t="s">
        <v>334</v>
      </c>
      <c r="AJ9" s="81"/>
      <c r="AK9" s="81" t="s">
        <v>333</v>
      </c>
      <c r="AL9" s="81" t="s">
        <v>334</v>
      </c>
      <c r="AO9" s="75" t="s">
        <v>61</v>
      </c>
      <c r="AP9" s="86">
        <f t="shared" ref="AP9:AR11" si="0">((($A$17-1)*C45)+(($A$17-1)*I45)+(($A$17-1)*O45))/(($A$17-1)+($A$17-1)+($A$17-1))</f>
        <v>0.1342962962962963</v>
      </c>
      <c r="AQ9" s="86">
        <f>(((C20-1)*D45)+((I20-1)*J45)+((O20-1)*P45))/((C20+I20+O20)-3)</f>
        <v>0.10792592592592593</v>
      </c>
      <c r="AR9" s="86">
        <f>(((D20-1)*E45)+((J20-1)*K45)+((P20-1)*Q45))/((D20+J20+P20)-3)</f>
        <v>8.8814814814814833E-2</v>
      </c>
      <c r="AS9" s="86">
        <f>(((E20-1)*F45)+((K20-1)*L45)+((Q20-1)*R45))/((E20+K20+Q20)-3)</f>
        <v>4.9111111111111105E-2</v>
      </c>
      <c r="AT9" s="86"/>
      <c r="AU9" s="134"/>
      <c r="AW9" s="81" t="s">
        <v>60</v>
      </c>
      <c r="AX9" s="81" t="s">
        <v>61</v>
      </c>
      <c r="AY9" s="81" t="s">
        <v>62</v>
      </c>
      <c r="AZ9" s="81" t="s">
        <v>63</v>
      </c>
      <c r="BC9" s="104" t="s">
        <v>241</v>
      </c>
      <c r="BE9" s="104" t="s">
        <v>82</v>
      </c>
      <c r="BF9" s="104" t="s">
        <v>230</v>
      </c>
      <c r="BH9" s="130"/>
      <c r="BJ9" s="81" t="s">
        <v>60</v>
      </c>
      <c r="BK9" s="81" t="s">
        <v>61</v>
      </c>
      <c r="BL9" s="81" t="s">
        <v>62</v>
      </c>
      <c r="BM9" s="81" t="s">
        <v>63</v>
      </c>
      <c r="BP9" s="104" t="s">
        <v>241</v>
      </c>
      <c r="BR9" s="104" t="s">
        <v>82</v>
      </c>
      <c r="BS9" s="104" t="s">
        <v>230</v>
      </c>
      <c r="BU9" s="130"/>
      <c r="BW9" s="81" t="s">
        <v>60</v>
      </c>
      <c r="BX9" s="81" t="s">
        <v>61</v>
      </c>
      <c r="BY9" s="81" t="s">
        <v>62</v>
      </c>
      <c r="BZ9" s="81" t="s">
        <v>63</v>
      </c>
      <c r="CC9" s="104" t="s">
        <v>241</v>
      </c>
      <c r="CE9" s="104" t="s">
        <v>82</v>
      </c>
      <c r="CF9" s="104" t="s">
        <v>230</v>
      </c>
      <c r="CG9" s="116"/>
    </row>
    <row r="10" spans="1:85">
      <c r="A10" s="75">
        <v>3</v>
      </c>
      <c r="B10" s="123">
        <v>4.7</v>
      </c>
      <c r="C10" s="123">
        <v>3.2</v>
      </c>
      <c r="D10" s="123"/>
      <c r="E10" s="123">
        <v>1.3</v>
      </c>
      <c r="F10" s="123">
        <v>0.2</v>
      </c>
      <c r="H10" s="87">
        <v>6.9</v>
      </c>
      <c r="I10" s="87">
        <v>3.1</v>
      </c>
      <c r="K10" s="87">
        <v>4.9000000000000004</v>
      </c>
      <c r="L10" s="87">
        <v>1.5</v>
      </c>
      <c r="N10" s="87">
        <v>7.1</v>
      </c>
      <c r="O10" s="87">
        <v>3</v>
      </c>
      <c r="Q10" s="87">
        <v>5.9</v>
      </c>
      <c r="R10" s="87">
        <v>2.1</v>
      </c>
      <c r="S10" s="87"/>
      <c r="T10" s="87"/>
      <c r="AO10" s="75" t="s">
        <v>62</v>
      </c>
      <c r="AP10" s="86">
        <f t="shared" si="0"/>
        <v>0.26744444444444443</v>
      </c>
      <c r="AQ10" s="86">
        <f t="shared" si="0"/>
        <v>8.8814814814814833E-2</v>
      </c>
      <c r="AR10" s="86">
        <f>(((E20-1)*E46)+((K20-1)*K46)+((Q20-1)*Q46))/((E20+K20+Q20)-3)</f>
        <v>0.20322222222222225</v>
      </c>
      <c r="AS10" s="86">
        <f>(((F20-1)*F46)+((L20-1)*L46)+((R20-1)*R46))/((F20+L20+R20)-3)</f>
        <v>5.0962962962962981E-2</v>
      </c>
      <c r="AT10" s="86"/>
      <c r="AU10" s="134"/>
      <c r="AV10" s="75">
        <v>1</v>
      </c>
      <c r="AW10" s="108">
        <f t="shared" ref="AW10:AW19" si="1">B8-$B$23</f>
        <v>0.24000000000000021</v>
      </c>
      <c r="AX10" s="108">
        <f t="shared" ref="AX10:AX19" si="2">C8-$C$23</f>
        <v>0.19000000000000039</v>
      </c>
      <c r="AY10" s="108">
        <f t="shared" ref="AY10:AY19" si="3">E8-$E$23</f>
        <v>-5.0000000000000044E-2</v>
      </c>
      <c r="AZ10" s="108">
        <f t="shared" ref="AZ10:AZ19" si="4">F8-$F$23</f>
        <v>-2.0000000000000018E-2</v>
      </c>
      <c r="BC10" s="86">
        <f t="shared" ref="BC10:BC19" si="5">SQRT((AW10^2)+(AX10^2)+(AY10^2)+(AZ10^2))</f>
        <v>0.31080540535840145</v>
      </c>
      <c r="BD10" s="86"/>
      <c r="BE10" s="86">
        <f>MMULT(MMULT(AW10:AZ10,AP15:AS18),AW23:AW26)</f>
        <v>1.7254700449902638</v>
      </c>
      <c r="BF10" s="75">
        <f>SQRT(BE10)</f>
        <v>1.3135714845375808</v>
      </c>
      <c r="BH10" s="130"/>
      <c r="BI10" s="75">
        <v>1</v>
      </c>
      <c r="BJ10" s="108">
        <f t="shared" ref="BJ10:BJ19" si="6">N8-$H$23</f>
        <v>0.20000000000000018</v>
      </c>
      <c r="BK10" s="108">
        <f t="shared" ref="BK10:BK19" si="7">O8-$I$23</f>
        <v>0.42999999999999972</v>
      </c>
      <c r="BL10" s="108">
        <f t="shared" ref="BL10:BL19" si="8">Q8-$K$23</f>
        <v>1.63</v>
      </c>
      <c r="BM10" s="108">
        <f t="shared" ref="BM10:BM19" si="9">R8-$L$23</f>
        <v>1.1199999999999999</v>
      </c>
      <c r="BP10" s="108">
        <f t="shared" ref="BP10:BP19" si="10">SQRT((BJ10^2)+(BK10^2)+(BL10^2)+(BM10^2))</f>
        <v>2.0337649815059753</v>
      </c>
      <c r="BQ10" s="108"/>
      <c r="BR10" s="108">
        <f>MMULT(MMULT(BJ10:BM10,AP15:AS18),BJ23:BJ26)</f>
        <v>79.868949499072031</v>
      </c>
      <c r="BS10" s="108">
        <f>SQRT(BR10)</f>
        <v>8.9369429616100842</v>
      </c>
      <c r="BU10" s="130"/>
      <c r="BV10" s="75">
        <v>1</v>
      </c>
      <c r="BW10" s="108">
        <f t="shared" ref="BW10:BW19" si="11">AV11-$N$23</f>
        <v>-4.57</v>
      </c>
      <c r="BX10" s="108">
        <f t="shared" ref="BX10:BX19" si="12">AW11-$O$23</f>
        <v>-2.899999999999999</v>
      </c>
      <c r="BY10" s="108">
        <f t="shared" ref="BY10:BY19" si="13">AY11-$Q$23</f>
        <v>-5.8199999999999994</v>
      </c>
      <c r="BZ10" s="108">
        <f t="shared" ref="BZ10:BZ19" si="14">AZ11-$R$23</f>
        <v>-2.06</v>
      </c>
      <c r="CC10" s="87">
        <f t="shared" ref="CC10:CC19" si="15">SQRT((BW10^2)+(BX10^2)+(BY10^2)+(BZ10^2))</f>
        <v>8.2104141186666091</v>
      </c>
      <c r="CD10" s="87"/>
      <c r="CE10" s="87">
        <f>MMULT(MMULT(BW10:BZ10,AP15:AS18),BW23:BW26)</f>
        <v>333.79535699602235</v>
      </c>
      <c r="CF10" s="87">
        <f>SQRT(CE10)</f>
        <v>18.270067241146716</v>
      </c>
      <c r="CG10" s="116"/>
    </row>
    <row r="11" spans="1:85">
      <c r="A11" s="75">
        <v>4</v>
      </c>
      <c r="B11" s="123">
        <v>4.5999999999999996</v>
      </c>
      <c r="C11" s="123">
        <v>3.1</v>
      </c>
      <c r="D11" s="123"/>
      <c r="E11" s="123">
        <v>1.5</v>
      </c>
      <c r="F11" s="123">
        <v>0.2</v>
      </c>
      <c r="H11" s="87">
        <v>5.5</v>
      </c>
      <c r="I11" s="87">
        <v>2.2999999999999998</v>
      </c>
      <c r="K11" s="87">
        <v>4</v>
      </c>
      <c r="L11" s="87">
        <v>1.3</v>
      </c>
      <c r="N11" s="87">
        <v>6.3</v>
      </c>
      <c r="O11" s="87">
        <v>2.9</v>
      </c>
      <c r="Q11" s="87">
        <v>5.6</v>
      </c>
      <c r="R11" s="87">
        <v>1.8</v>
      </c>
      <c r="S11" s="87"/>
      <c r="T11" s="87"/>
      <c r="U11" s="75">
        <v>1</v>
      </c>
      <c r="V11" s="105">
        <f t="shared" ref="V11:V20" si="16">ABS(B8-$B$24)</f>
        <v>0.19999999999999929</v>
      </c>
      <c r="W11" s="105">
        <f t="shared" ref="W11:W20" si="17">ABS(C8-$C$24)</f>
        <v>0.20000000000000018</v>
      </c>
      <c r="X11" s="105"/>
      <c r="Y11" s="105">
        <f t="shared" ref="Y11:Y20" si="18">ABS(E8-$E$24)</f>
        <v>0</v>
      </c>
      <c r="Z11" s="105">
        <f t="shared" ref="Z11:Z20" si="19">ABS(F8-$F$24)</f>
        <v>0</v>
      </c>
      <c r="AA11" s="108"/>
      <c r="AB11" s="105">
        <f t="shared" ref="AB11:AB20" si="20">ABS(H8-$H$24)</f>
        <v>0.65000000000000036</v>
      </c>
      <c r="AC11" s="105">
        <f t="shared" ref="AC11:AC20" si="21">ABS(I8-$I$24)</f>
        <v>0.35000000000000053</v>
      </c>
      <c r="AD11" s="108"/>
      <c r="AE11" s="105">
        <f t="shared" ref="AE11:AE20" si="22">ABS(K8-$K$24)</f>
        <v>0.15000000000000036</v>
      </c>
      <c r="AF11" s="105">
        <f t="shared" ref="AF11:AF20" si="23">ABS(L8-$L$24)</f>
        <v>0</v>
      </c>
      <c r="AG11" s="108"/>
      <c r="AH11" s="105">
        <f t="shared" ref="AH11:AH20" si="24">ABS(N8-$N$24)</f>
        <v>0.29999999999999982</v>
      </c>
      <c r="AI11" s="105">
        <f t="shared" ref="AI11:AI20" si="25">ABS(O8-$O$24)</f>
        <v>0.34999999999999964</v>
      </c>
      <c r="AJ11" s="108"/>
      <c r="AK11" s="105">
        <f t="shared" ref="AK11:AK20" si="26">ABS(Q8-$Q$24)</f>
        <v>0.15000000000000036</v>
      </c>
      <c r="AL11" s="105">
        <f t="shared" ref="AL11:AL20" si="27">ABS(R8-$R$24)</f>
        <v>0.5</v>
      </c>
      <c r="AO11" s="75" t="s">
        <v>63</v>
      </c>
      <c r="AP11" s="86">
        <f t="shared" si="0"/>
        <v>5.8518518518518518E-2</v>
      </c>
      <c r="AQ11" s="86">
        <f t="shared" si="0"/>
        <v>4.9111111111111105E-2</v>
      </c>
      <c r="AR11" s="86">
        <f t="shared" si="0"/>
        <v>5.0962962962962981E-2</v>
      </c>
      <c r="AS11" s="86">
        <f>(((F20-1)*F47)+((L20-1)*L47)+((R20-1)*R47))/((F20+L20+R20)-3)</f>
        <v>3.9851851851851854E-2</v>
      </c>
      <c r="AT11" s="86"/>
      <c r="AU11" s="134"/>
      <c r="AV11" s="75">
        <v>2</v>
      </c>
      <c r="AW11" s="108">
        <f t="shared" si="1"/>
        <v>4.0000000000000924E-2</v>
      </c>
      <c r="AX11" s="108">
        <f t="shared" si="2"/>
        <v>-0.30999999999999961</v>
      </c>
      <c r="AY11" s="108">
        <f t="shared" si="3"/>
        <v>-5.0000000000000044E-2</v>
      </c>
      <c r="AZ11" s="108">
        <f t="shared" si="4"/>
        <v>-2.0000000000000018E-2</v>
      </c>
      <c r="BC11" s="86">
        <f t="shared" si="5"/>
        <v>0.31717503054307383</v>
      </c>
      <c r="BD11" s="86"/>
      <c r="BE11" s="86">
        <f>MMULT(MMULT(AW11:AZ11,AP15:AS18),AX23:AX26)</f>
        <v>3.3829172989134149</v>
      </c>
      <c r="BF11" s="75">
        <f t="shared" ref="BF11:BF19" si="28">SQRT(BE11)</f>
        <v>1.8392708606709929</v>
      </c>
      <c r="BH11" s="130"/>
      <c r="BI11" s="75">
        <v>2</v>
      </c>
      <c r="BJ11" s="108">
        <f t="shared" si="6"/>
        <v>-0.29999999999999982</v>
      </c>
      <c r="BK11" s="108">
        <f t="shared" si="7"/>
        <v>-0.16999999999999993</v>
      </c>
      <c r="BL11" s="108">
        <f t="shared" si="8"/>
        <v>0.72999999999999954</v>
      </c>
      <c r="BM11" s="108">
        <f t="shared" si="9"/>
        <v>0.5199999999999998</v>
      </c>
      <c r="BP11" s="108">
        <f t="shared" si="10"/>
        <v>0.96031244915391945</v>
      </c>
      <c r="BQ11" s="108"/>
      <c r="BR11" s="108">
        <f>MMULT(MMULT(BJ11:BM11,AP15:AS18),BK23:BK26)</f>
        <v>31.322934331469391</v>
      </c>
      <c r="BS11" s="108">
        <f t="shared" ref="BS11:BS19" si="29">SQRT(BR11)</f>
        <v>5.5966895868423316</v>
      </c>
      <c r="BU11" s="130"/>
      <c r="BV11" s="75">
        <v>2</v>
      </c>
      <c r="BW11" s="108">
        <f t="shared" si="11"/>
        <v>-3.5700000000000003</v>
      </c>
      <c r="BX11" s="108">
        <f t="shared" si="12"/>
        <v>-3.0999999999999992</v>
      </c>
      <c r="BY11" s="108">
        <f t="shared" si="13"/>
        <v>-5.92</v>
      </c>
      <c r="BZ11" s="108">
        <f t="shared" si="14"/>
        <v>-2.06</v>
      </c>
      <c r="CC11" s="87">
        <f t="shared" si="15"/>
        <v>7.8514266219585851</v>
      </c>
      <c r="CD11" s="87"/>
      <c r="CE11" s="87">
        <f>MMULT(MMULT(BW11:BZ11,AP15:AS18),BX23:BX26)</f>
        <v>506.99518862027509</v>
      </c>
      <c r="CF11" s="87">
        <f t="shared" ref="CF11:CF19" si="30">SQRT(CE11)</f>
        <v>22.516553657704261</v>
      </c>
      <c r="CG11" s="116"/>
    </row>
    <row r="12" spans="1:85">
      <c r="A12" s="75">
        <v>5</v>
      </c>
      <c r="B12" s="123">
        <v>5</v>
      </c>
      <c r="C12" s="123">
        <v>3.6</v>
      </c>
      <c r="D12" s="123"/>
      <c r="E12" s="123">
        <v>1.4</v>
      </c>
      <c r="F12" s="123">
        <v>0.2</v>
      </c>
      <c r="H12" s="87">
        <v>6.5</v>
      </c>
      <c r="I12" s="87">
        <v>2.8</v>
      </c>
      <c r="K12" s="87">
        <v>4.5999999999999996</v>
      </c>
      <c r="L12" s="87">
        <v>1.5</v>
      </c>
      <c r="N12" s="87">
        <v>6.5</v>
      </c>
      <c r="O12" s="87">
        <v>3</v>
      </c>
      <c r="Q12" s="87">
        <v>5.8</v>
      </c>
      <c r="R12" s="87">
        <v>2.2000000000000002</v>
      </c>
      <c r="S12" s="87"/>
      <c r="T12" s="87"/>
      <c r="U12" s="75">
        <v>2</v>
      </c>
      <c r="V12" s="105">
        <f t="shared" si="16"/>
        <v>0</v>
      </c>
      <c r="W12" s="105">
        <f t="shared" si="17"/>
        <v>0.29999999999999982</v>
      </c>
      <c r="X12" s="105"/>
      <c r="Y12" s="105">
        <f t="shared" si="18"/>
        <v>0</v>
      </c>
      <c r="Z12" s="105">
        <f t="shared" si="19"/>
        <v>0</v>
      </c>
      <c r="AA12" s="108"/>
      <c r="AB12" s="105">
        <f t="shared" si="20"/>
        <v>5.0000000000000711E-2</v>
      </c>
      <c r="AC12" s="105">
        <f t="shared" si="21"/>
        <v>0.35000000000000053</v>
      </c>
      <c r="AD12" s="108"/>
      <c r="AE12" s="105">
        <f t="shared" si="22"/>
        <v>4.9999999999999822E-2</v>
      </c>
      <c r="AF12" s="105">
        <f t="shared" si="23"/>
        <v>0.10000000000000009</v>
      </c>
      <c r="AG12" s="108"/>
      <c r="AH12" s="105">
        <f t="shared" si="24"/>
        <v>0.79999999999999982</v>
      </c>
      <c r="AI12" s="105">
        <f t="shared" si="25"/>
        <v>0.25</v>
      </c>
      <c r="AJ12" s="108"/>
      <c r="AK12" s="105">
        <f t="shared" si="26"/>
        <v>0.75</v>
      </c>
      <c r="AL12" s="105">
        <f t="shared" si="27"/>
        <v>0.10000000000000009</v>
      </c>
      <c r="AU12" s="134"/>
      <c r="AV12" s="75">
        <v>3</v>
      </c>
      <c r="AW12" s="108">
        <f t="shared" si="1"/>
        <v>-0.15999999999999925</v>
      </c>
      <c r="AX12" s="108">
        <f t="shared" si="2"/>
        <v>-0.10999999999999943</v>
      </c>
      <c r="AY12" s="108">
        <f t="shared" si="3"/>
        <v>-0.14999999999999991</v>
      </c>
      <c r="AZ12" s="108">
        <f t="shared" si="4"/>
        <v>-2.0000000000000018E-2</v>
      </c>
      <c r="BC12" s="86">
        <f t="shared" si="5"/>
        <v>0.24617067250182262</v>
      </c>
      <c r="BD12" s="86"/>
      <c r="BE12" s="86">
        <f>MMULT(MMULT(AW12:AZ12,AP15:AS18),AY23:AY26)</f>
        <v>0.34318359408904453</v>
      </c>
      <c r="BF12" s="75">
        <f t="shared" si="28"/>
        <v>0.58581873825360398</v>
      </c>
      <c r="BH12" s="130"/>
      <c r="BI12" s="75">
        <v>3</v>
      </c>
      <c r="BJ12" s="108">
        <f t="shared" si="6"/>
        <v>1</v>
      </c>
      <c r="BK12" s="108">
        <f t="shared" si="7"/>
        <v>0.12999999999999989</v>
      </c>
      <c r="BL12" s="108">
        <f t="shared" si="8"/>
        <v>1.5300000000000002</v>
      </c>
      <c r="BM12" s="108">
        <f t="shared" si="9"/>
        <v>0.72</v>
      </c>
      <c r="BP12" s="108">
        <f t="shared" si="10"/>
        <v>1.9688067452139635</v>
      </c>
      <c r="BQ12" s="108"/>
      <c r="BR12" s="108">
        <f>MMULT(MMULT(BJ12:BM12,AP15:AS18),BL23:BL26)</f>
        <v>36.433088942806293</v>
      </c>
      <c r="BS12" s="108">
        <f t="shared" si="29"/>
        <v>6.0359828481206188</v>
      </c>
      <c r="BU12" s="130"/>
      <c r="BV12" s="75">
        <v>3</v>
      </c>
      <c r="BW12" s="108">
        <f t="shared" si="11"/>
        <v>-2.5700000000000003</v>
      </c>
      <c r="BX12" s="108">
        <f t="shared" si="12"/>
        <v>-3.1999999999999997</v>
      </c>
      <c r="BY12" s="108">
        <f t="shared" si="13"/>
        <v>-5.72</v>
      </c>
      <c r="BZ12" s="108">
        <f t="shared" si="14"/>
        <v>-2.06</v>
      </c>
      <c r="CC12" s="87">
        <f t="shared" si="15"/>
        <v>7.3353186706509215</v>
      </c>
      <c r="CD12" s="87"/>
      <c r="CE12" s="87">
        <f>MMULT(MMULT(BW12:BZ12,AP15:AS18),BY23:BY26)</f>
        <v>640.39839356012362</v>
      </c>
      <c r="CF12" s="87">
        <f t="shared" si="30"/>
        <v>25.306094000460117</v>
      </c>
      <c r="CG12" s="116"/>
    </row>
    <row r="13" spans="1:85">
      <c r="A13" s="75">
        <v>6</v>
      </c>
      <c r="B13" s="123">
        <v>5.4</v>
      </c>
      <c r="C13" s="123">
        <v>3.9</v>
      </c>
      <c r="D13" s="123"/>
      <c r="E13" s="123">
        <v>1.7</v>
      </c>
      <c r="F13" s="123">
        <v>0.4</v>
      </c>
      <c r="H13" s="87">
        <v>5.7</v>
      </c>
      <c r="I13" s="87">
        <v>2.8</v>
      </c>
      <c r="K13" s="87">
        <v>4.5</v>
      </c>
      <c r="L13" s="87">
        <v>1.3</v>
      </c>
      <c r="N13" s="87">
        <v>7.6</v>
      </c>
      <c r="O13" s="87">
        <v>3</v>
      </c>
      <c r="Q13" s="87">
        <v>6.6</v>
      </c>
      <c r="R13" s="87">
        <v>2.1</v>
      </c>
      <c r="S13" s="87"/>
      <c r="T13" s="87"/>
      <c r="U13" s="75">
        <v>3</v>
      </c>
      <c r="V13" s="105">
        <f t="shared" si="16"/>
        <v>0.20000000000000018</v>
      </c>
      <c r="W13" s="105">
        <f t="shared" si="17"/>
        <v>9.9999999999999645E-2</v>
      </c>
      <c r="X13" s="105"/>
      <c r="Y13" s="105">
        <f t="shared" si="18"/>
        <v>9.9999999999999867E-2</v>
      </c>
      <c r="Z13" s="105">
        <f t="shared" si="19"/>
        <v>0</v>
      </c>
      <c r="AA13" s="108"/>
      <c r="AB13" s="105">
        <f t="shared" si="20"/>
        <v>0.55000000000000071</v>
      </c>
      <c r="AC13" s="105">
        <f t="shared" si="21"/>
        <v>0.25000000000000044</v>
      </c>
      <c r="AD13" s="108"/>
      <c r="AE13" s="105">
        <f t="shared" si="22"/>
        <v>0.35000000000000053</v>
      </c>
      <c r="AF13" s="105">
        <f t="shared" si="23"/>
        <v>0.10000000000000009</v>
      </c>
      <c r="AG13" s="108"/>
      <c r="AH13" s="105">
        <f t="shared" si="24"/>
        <v>0.5</v>
      </c>
      <c r="AI13" s="105">
        <f t="shared" si="25"/>
        <v>4.9999999999999822E-2</v>
      </c>
      <c r="AJ13" s="108"/>
      <c r="AK13" s="105">
        <f t="shared" si="26"/>
        <v>5.0000000000000711E-2</v>
      </c>
      <c r="AL13" s="105">
        <f t="shared" si="27"/>
        <v>0.10000000000000009</v>
      </c>
      <c r="AO13" s="85" t="s">
        <v>259</v>
      </c>
      <c r="AP13" s="85"/>
      <c r="AQ13" s="85"/>
      <c r="AR13" s="85"/>
      <c r="AS13" s="85"/>
      <c r="AT13" s="96"/>
      <c r="AU13" s="130"/>
      <c r="AV13" s="75">
        <v>4</v>
      </c>
      <c r="AW13" s="108">
        <f t="shared" si="1"/>
        <v>-0.25999999999999979</v>
      </c>
      <c r="AX13" s="108">
        <f t="shared" si="2"/>
        <v>-0.20999999999999952</v>
      </c>
      <c r="AY13" s="108">
        <f t="shared" si="3"/>
        <v>5.0000000000000044E-2</v>
      </c>
      <c r="AZ13" s="108">
        <f t="shared" si="4"/>
        <v>-2.0000000000000018E-2</v>
      </c>
      <c r="BC13" s="86">
        <f t="shared" si="5"/>
        <v>0.33852621759621465</v>
      </c>
      <c r="BD13" s="86"/>
      <c r="BE13" s="86">
        <f>MMULT(MMULT(AW13:AZ13,AP15:AS18),AZ23:AZ26)</f>
        <v>1.9134590224140686</v>
      </c>
      <c r="BF13" s="75">
        <f t="shared" si="28"/>
        <v>1.3832783604228285</v>
      </c>
      <c r="BH13" s="130"/>
      <c r="BI13" s="75">
        <v>4</v>
      </c>
      <c r="BJ13" s="108">
        <f t="shared" si="6"/>
        <v>0.20000000000000018</v>
      </c>
      <c r="BK13" s="108">
        <f t="shared" si="7"/>
        <v>2.9999999999999805E-2</v>
      </c>
      <c r="BL13" s="108">
        <f t="shared" si="8"/>
        <v>1.2299999999999995</v>
      </c>
      <c r="BM13" s="108">
        <f t="shared" si="9"/>
        <v>0.41999999999999993</v>
      </c>
      <c r="BP13" s="108">
        <f t="shared" si="10"/>
        <v>1.315370670191486</v>
      </c>
      <c r="BQ13" s="108"/>
      <c r="BR13" s="108">
        <f>MMULT(MMULT(BJ13:BM13,AP15:AS18),BM23:BM26)</f>
        <v>37.273735990510751</v>
      </c>
      <c r="BS13" s="108">
        <f t="shared" si="29"/>
        <v>6.1052220263075405</v>
      </c>
      <c r="BU13" s="130"/>
      <c r="BV13" s="75">
        <v>4</v>
      </c>
      <c r="BW13" s="108">
        <f t="shared" si="11"/>
        <v>-1.5700000000000003</v>
      </c>
      <c r="BX13" s="108">
        <f t="shared" si="12"/>
        <v>-2.7999999999999994</v>
      </c>
      <c r="BY13" s="108">
        <f t="shared" si="13"/>
        <v>-5.8199999999999994</v>
      </c>
      <c r="BZ13" s="108">
        <f t="shared" si="14"/>
        <v>-2.06</v>
      </c>
      <c r="CC13" s="87">
        <f t="shared" si="15"/>
        <v>6.958512772137448</v>
      </c>
      <c r="CD13" s="87"/>
      <c r="CE13" s="87">
        <f>MMULT(MMULT(BW13:BZ13,AP15:AS18),BZ23:BZ26)</f>
        <v>834.17455184515347</v>
      </c>
      <c r="CF13" s="87">
        <f t="shared" si="30"/>
        <v>28.882080116313531</v>
      </c>
      <c r="CG13" s="116"/>
    </row>
    <row r="14" spans="1:85">
      <c r="A14" s="75">
        <v>7</v>
      </c>
      <c r="B14" s="123">
        <v>4.5999999999999996</v>
      </c>
      <c r="C14" s="123">
        <v>3.4</v>
      </c>
      <c r="D14" s="123"/>
      <c r="E14" s="123">
        <v>1.4</v>
      </c>
      <c r="F14" s="123">
        <v>0.3</v>
      </c>
      <c r="H14" s="87">
        <v>6.3</v>
      </c>
      <c r="I14" s="87">
        <v>3.3</v>
      </c>
      <c r="K14" s="87">
        <v>4.7</v>
      </c>
      <c r="L14" s="87">
        <v>1.6</v>
      </c>
      <c r="N14" s="87">
        <v>4.9000000000000004</v>
      </c>
      <c r="O14" s="87">
        <v>2.5</v>
      </c>
      <c r="Q14" s="87">
        <v>4.5</v>
      </c>
      <c r="R14" s="87">
        <v>1.7</v>
      </c>
      <c r="S14" s="87"/>
      <c r="T14" s="87"/>
      <c r="U14" s="75">
        <v>4</v>
      </c>
      <c r="V14" s="105">
        <f t="shared" si="16"/>
        <v>0.30000000000000071</v>
      </c>
      <c r="W14" s="105">
        <f t="shared" si="17"/>
        <v>0.19999999999999973</v>
      </c>
      <c r="X14" s="105"/>
      <c r="Y14" s="105">
        <f t="shared" si="18"/>
        <v>0.10000000000000009</v>
      </c>
      <c r="Z14" s="105">
        <f t="shared" si="19"/>
        <v>0</v>
      </c>
      <c r="AA14" s="108"/>
      <c r="AB14" s="105">
        <f t="shared" si="20"/>
        <v>0.84999999999999964</v>
      </c>
      <c r="AC14" s="105">
        <f t="shared" si="21"/>
        <v>0.54999999999999982</v>
      </c>
      <c r="AD14" s="108"/>
      <c r="AE14" s="105">
        <f t="shared" si="22"/>
        <v>0.54999999999999982</v>
      </c>
      <c r="AF14" s="105">
        <f t="shared" si="23"/>
        <v>9.9999999999999867E-2</v>
      </c>
      <c r="AG14" s="108"/>
      <c r="AH14" s="105">
        <f t="shared" si="24"/>
        <v>0.29999999999999982</v>
      </c>
      <c r="AI14" s="105">
        <f t="shared" si="25"/>
        <v>5.0000000000000266E-2</v>
      </c>
      <c r="AJ14" s="108"/>
      <c r="AK14" s="105">
        <f t="shared" si="26"/>
        <v>0.25</v>
      </c>
      <c r="AL14" s="105">
        <f t="shared" si="27"/>
        <v>0.19999999999999996</v>
      </c>
      <c r="AP14" s="75" t="s">
        <v>60</v>
      </c>
      <c r="AQ14" s="75" t="s">
        <v>61</v>
      </c>
      <c r="AR14" s="75" t="s">
        <v>62</v>
      </c>
      <c r="AS14" s="75" t="s">
        <v>63</v>
      </c>
      <c r="AU14" s="130"/>
      <c r="AV14" s="75">
        <v>5</v>
      </c>
      <c r="AW14" s="108">
        <f t="shared" si="1"/>
        <v>0.14000000000000057</v>
      </c>
      <c r="AX14" s="108">
        <f t="shared" si="2"/>
        <v>0.29000000000000048</v>
      </c>
      <c r="AY14" s="108">
        <f t="shared" si="3"/>
        <v>-5.0000000000000044E-2</v>
      </c>
      <c r="AZ14" s="108">
        <f t="shared" si="4"/>
        <v>-2.0000000000000018E-2</v>
      </c>
      <c r="BC14" s="86">
        <f t="shared" si="5"/>
        <v>0.32649655434629082</v>
      </c>
      <c r="BD14" s="86"/>
      <c r="BE14" s="86">
        <f>MMULT(MMULT(AW14:AZ14,AP15:AS18),BA23:BA26)</f>
        <v>2.4139021399854714</v>
      </c>
      <c r="BF14" s="75">
        <f t="shared" si="28"/>
        <v>1.5536737559685661</v>
      </c>
      <c r="BH14" s="130"/>
      <c r="BI14" s="75">
        <v>5</v>
      </c>
      <c r="BJ14" s="108">
        <f t="shared" si="6"/>
        <v>0.40000000000000036</v>
      </c>
      <c r="BK14" s="108">
        <f t="shared" si="7"/>
        <v>0.12999999999999989</v>
      </c>
      <c r="BL14" s="108">
        <f t="shared" si="8"/>
        <v>1.4299999999999997</v>
      </c>
      <c r="BM14" s="108">
        <f t="shared" si="9"/>
        <v>0.82000000000000006</v>
      </c>
      <c r="BP14" s="108">
        <f t="shared" si="10"/>
        <v>1.7012348456341939</v>
      </c>
      <c r="BQ14" s="108"/>
      <c r="BR14" s="108">
        <f>MMULT(MMULT(BJ14:BM14,AP15:AS18),BN23:BN26)</f>
        <v>50.755710132918537</v>
      </c>
      <c r="BS14" s="108">
        <f t="shared" si="29"/>
        <v>7.1243041858779819</v>
      </c>
      <c r="BU14" s="130"/>
      <c r="BV14" s="75">
        <v>5</v>
      </c>
      <c r="BW14" s="108">
        <f t="shared" si="11"/>
        <v>-0.57000000000000028</v>
      </c>
      <c r="BX14" s="108">
        <f t="shared" si="12"/>
        <v>-2.399999999999999</v>
      </c>
      <c r="BY14" s="108">
        <f t="shared" si="13"/>
        <v>-5.52</v>
      </c>
      <c r="BZ14" s="108">
        <f t="shared" si="14"/>
        <v>-1.86</v>
      </c>
      <c r="CC14" s="87">
        <f t="shared" si="15"/>
        <v>6.3257331590891495</v>
      </c>
      <c r="CD14" s="87"/>
      <c r="CE14" s="87">
        <f>MMULT(MMULT(BW14:BZ14,AP15:AS18),CA23:CA26)</f>
        <v>948.78478507963302</v>
      </c>
      <c r="CF14" s="87">
        <f t="shared" si="30"/>
        <v>30.802350317461702</v>
      </c>
      <c r="CG14" s="116"/>
    </row>
    <row r="15" spans="1:85">
      <c r="A15" s="75">
        <v>8</v>
      </c>
      <c r="B15" s="123">
        <v>5</v>
      </c>
      <c r="C15" s="123">
        <v>3.4</v>
      </c>
      <c r="D15" s="123"/>
      <c r="E15" s="123">
        <v>1.5</v>
      </c>
      <c r="F15" s="123">
        <v>0.2</v>
      </c>
      <c r="H15" s="87">
        <v>4.9000000000000004</v>
      </c>
      <c r="I15" s="87">
        <v>2.4</v>
      </c>
      <c r="K15" s="87">
        <v>3.3</v>
      </c>
      <c r="L15" s="87">
        <v>1</v>
      </c>
      <c r="N15" s="87">
        <v>7.3</v>
      </c>
      <c r="O15" s="87">
        <v>2.9</v>
      </c>
      <c r="Q15" s="87">
        <v>6.3</v>
      </c>
      <c r="R15" s="87">
        <v>1.8</v>
      </c>
      <c r="S15" s="87"/>
      <c r="T15" s="87"/>
      <c r="U15" s="75">
        <v>5</v>
      </c>
      <c r="V15" s="105">
        <f t="shared" si="16"/>
        <v>9.9999999999999645E-2</v>
      </c>
      <c r="W15" s="105">
        <f t="shared" si="17"/>
        <v>0.30000000000000027</v>
      </c>
      <c r="X15" s="105"/>
      <c r="Y15" s="105">
        <f t="shared" si="18"/>
        <v>0</v>
      </c>
      <c r="Z15" s="105">
        <f t="shared" si="19"/>
        <v>0</v>
      </c>
      <c r="AA15" s="108"/>
      <c r="AB15" s="105">
        <f t="shared" si="20"/>
        <v>0.15000000000000036</v>
      </c>
      <c r="AC15" s="105">
        <f t="shared" si="21"/>
        <v>4.9999999999999822E-2</v>
      </c>
      <c r="AD15" s="108"/>
      <c r="AE15" s="105">
        <f t="shared" si="22"/>
        <v>4.9999999999999822E-2</v>
      </c>
      <c r="AF15" s="105">
        <f t="shared" si="23"/>
        <v>0.10000000000000009</v>
      </c>
      <c r="AG15" s="108"/>
      <c r="AH15" s="105">
        <f t="shared" si="24"/>
        <v>9.9999999999999645E-2</v>
      </c>
      <c r="AI15" s="105">
        <f t="shared" si="25"/>
        <v>4.9999999999999822E-2</v>
      </c>
      <c r="AJ15" s="108"/>
      <c r="AK15" s="105">
        <f t="shared" si="26"/>
        <v>4.9999999999999822E-2</v>
      </c>
      <c r="AL15" s="105">
        <f t="shared" si="27"/>
        <v>0.20000000000000018</v>
      </c>
      <c r="AO15" s="75" t="s">
        <v>60</v>
      </c>
      <c r="AP15" s="108">
        <f t="array" ref="AP15:AS18">MINVERSE(AP8:AS11)</f>
        <v>20.099685496045431</v>
      </c>
      <c r="AQ15" s="108">
        <v>-12.24348858875994</v>
      </c>
      <c r="AR15" s="108">
        <v>-25.736583977290376</v>
      </c>
      <c r="AS15" s="108">
        <v>18.485968715330348</v>
      </c>
      <c r="AT15" s="86"/>
      <c r="AU15" s="130"/>
      <c r="AV15" s="75">
        <v>6</v>
      </c>
      <c r="AW15" s="108">
        <f t="shared" si="1"/>
        <v>0.54000000000000092</v>
      </c>
      <c r="AX15" s="108">
        <f t="shared" si="2"/>
        <v>0.5900000000000003</v>
      </c>
      <c r="AY15" s="108">
        <f t="shared" si="3"/>
        <v>0.25</v>
      </c>
      <c r="AZ15" s="108">
        <f t="shared" si="4"/>
        <v>0.18</v>
      </c>
      <c r="BC15" s="86">
        <f t="shared" si="5"/>
        <v>0.85708809348864567</v>
      </c>
      <c r="BD15" s="86"/>
      <c r="BE15" s="86">
        <f>MMULT(MMULT(AW15:AZ15,AP15:AS18),BB23:BB26)</f>
        <v>3.9544276059183394</v>
      </c>
      <c r="BF15" s="75">
        <f t="shared" si="28"/>
        <v>1.9885742646223548</v>
      </c>
      <c r="BH15" s="130"/>
      <c r="BI15" s="75">
        <v>6</v>
      </c>
      <c r="BJ15" s="108">
        <f t="shared" si="6"/>
        <v>1.5</v>
      </c>
      <c r="BK15" s="108">
        <f t="shared" si="7"/>
        <v>0.12999999999999989</v>
      </c>
      <c r="BL15" s="108">
        <f t="shared" si="8"/>
        <v>2.2299999999999995</v>
      </c>
      <c r="BM15" s="108">
        <f t="shared" si="9"/>
        <v>0.72</v>
      </c>
      <c r="BP15" s="108">
        <f t="shared" si="10"/>
        <v>2.7853545555278951</v>
      </c>
      <c r="BQ15" s="108"/>
      <c r="BR15" s="108">
        <f>MMULT(MMULT(BJ15:BM15,AP15:AS18),BO23:BO26)</f>
        <v>61.131137547912068</v>
      </c>
      <c r="BS15" s="108">
        <f t="shared" si="29"/>
        <v>7.8186403899854655</v>
      </c>
      <c r="BU15" s="130"/>
      <c r="BV15" s="75">
        <v>6</v>
      </c>
      <c r="BW15" s="108">
        <f t="shared" si="11"/>
        <v>0.42999999999999972</v>
      </c>
      <c r="BX15" s="108">
        <f t="shared" si="12"/>
        <v>-3.1999999999999997</v>
      </c>
      <c r="BY15" s="108">
        <f t="shared" si="13"/>
        <v>-5.8199999999999994</v>
      </c>
      <c r="BZ15" s="108">
        <f t="shared" si="14"/>
        <v>-1.96</v>
      </c>
      <c r="CC15" s="87">
        <f t="shared" si="15"/>
        <v>6.9382202328839337</v>
      </c>
      <c r="CD15" s="87"/>
      <c r="CE15" s="87">
        <f>MMULT(MMULT(BW15:BZ15,AP15:AS18),CB23:CB26)</f>
        <v>1472.1940207412174</v>
      </c>
      <c r="CF15" s="87">
        <f t="shared" si="30"/>
        <v>38.369180610761255</v>
      </c>
      <c r="CG15" s="116"/>
    </row>
    <row r="16" spans="1:85">
      <c r="A16" s="75">
        <v>9</v>
      </c>
      <c r="B16" s="123">
        <v>4.4000000000000004</v>
      </c>
      <c r="C16" s="123">
        <v>2.9</v>
      </c>
      <c r="D16" s="123"/>
      <c r="E16" s="123">
        <v>1.4</v>
      </c>
      <c r="F16" s="123">
        <v>0.2</v>
      </c>
      <c r="H16" s="87">
        <v>6.6</v>
      </c>
      <c r="I16" s="87">
        <v>2.9</v>
      </c>
      <c r="K16" s="87">
        <v>4.5999999999999996</v>
      </c>
      <c r="L16" s="87">
        <v>1.3</v>
      </c>
      <c r="N16" s="87">
        <v>6.7</v>
      </c>
      <c r="O16" s="87">
        <v>2.5</v>
      </c>
      <c r="Q16" s="87">
        <v>5.8</v>
      </c>
      <c r="R16" s="87">
        <v>1.8</v>
      </c>
      <c r="S16" s="87"/>
      <c r="T16" s="87"/>
      <c r="U16" s="75">
        <v>6</v>
      </c>
      <c r="V16" s="105">
        <f t="shared" si="16"/>
        <v>0.5</v>
      </c>
      <c r="W16" s="105">
        <f t="shared" si="17"/>
        <v>0.60000000000000009</v>
      </c>
      <c r="X16" s="105"/>
      <c r="Y16" s="105">
        <f t="shared" si="18"/>
        <v>0.30000000000000004</v>
      </c>
      <c r="Z16" s="105">
        <f t="shared" si="19"/>
        <v>0.2</v>
      </c>
      <c r="AA16" s="108"/>
      <c r="AB16" s="105">
        <f t="shared" si="20"/>
        <v>0.64999999999999947</v>
      </c>
      <c r="AC16" s="105">
        <f t="shared" si="21"/>
        <v>4.9999999999999822E-2</v>
      </c>
      <c r="AD16" s="108"/>
      <c r="AE16" s="105">
        <f t="shared" si="22"/>
        <v>4.9999999999999822E-2</v>
      </c>
      <c r="AF16" s="105">
        <f t="shared" si="23"/>
        <v>9.9999999999999867E-2</v>
      </c>
      <c r="AG16" s="108"/>
      <c r="AH16" s="105">
        <f t="shared" si="24"/>
        <v>1</v>
      </c>
      <c r="AI16" s="105">
        <f t="shared" si="25"/>
        <v>4.9999999999999822E-2</v>
      </c>
      <c r="AJ16" s="108"/>
      <c r="AK16" s="105">
        <f t="shared" si="26"/>
        <v>0.75</v>
      </c>
      <c r="AL16" s="105">
        <f t="shared" si="27"/>
        <v>0.10000000000000009</v>
      </c>
      <c r="AO16" s="75" t="s">
        <v>61</v>
      </c>
      <c r="AP16" s="108">
        <v>-12.243488588759931</v>
      </c>
      <c r="AQ16" s="108">
        <v>30.98555003191094</v>
      </c>
      <c r="AR16" s="108">
        <v>11.244144925699356</v>
      </c>
      <c r="AS16" s="108">
        <v>-34.585567648546032</v>
      </c>
      <c r="AT16" s="86"/>
      <c r="AU16" s="134"/>
      <c r="AV16" s="75">
        <v>7</v>
      </c>
      <c r="AW16" s="108">
        <f t="shared" si="1"/>
        <v>-0.25999999999999979</v>
      </c>
      <c r="AX16" s="108">
        <f t="shared" si="2"/>
        <v>9.0000000000000302E-2</v>
      </c>
      <c r="AY16" s="108">
        <f t="shared" si="3"/>
        <v>-5.0000000000000044E-2</v>
      </c>
      <c r="AZ16" s="108">
        <f t="shared" si="4"/>
        <v>7.999999999999996E-2</v>
      </c>
      <c r="BC16" s="86">
        <f t="shared" si="5"/>
        <v>0.29086079144497962</v>
      </c>
      <c r="BD16" s="86"/>
      <c r="BE16" s="86">
        <f>MMULT(MMULT(AW16:AZ16,AP15:AS18),BC23:BC26)</f>
        <v>0.96943078730566201</v>
      </c>
      <c r="BF16" s="75">
        <f t="shared" si="28"/>
        <v>0.98459676381027272</v>
      </c>
      <c r="BH16" s="130"/>
      <c r="BI16" s="75">
        <v>7</v>
      </c>
      <c r="BJ16" s="108">
        <f t="shared" si="6"/>
        <v>-1.1999999999999993</v>
      </c>
      <c r="BK16" s="108">
        <f t="shared" si="7"/>
        <v>-0.37000000000000011</v>
      </c>
      <c r="BL16" s="108">
        <f t="shared" si="8"/>
        <v>0.12999999999999989</v>
      </c>
      <c r="BM16" s="108">
        <f t="shared" si="9"/>
        <v>0.31999999999999984</v>
      </c>
      <c r="BP16" s="108">
        <f t="shared" si="10"/>
        <v>1.302382432313949</v>
      </c>
      <c r="BQ16" s="108"/>
      <c r="BR16" s="108">
        <f>MMULT(MMULT(BJ16:BM16,AP15:AS18),BP23:BP26)</f>
        <v>29.464517433399987</v>
      </c>
      <c r="BS16" s="108">
        <f t="shared" si="29"/>
        <v>5.4281228277738878</v>
      </c>
      <c r="BU16" s="130"/>
      <c r="BV16" s="75">
        <v>7</v>
      </c>
      <c r="BW16" s="108">
        <f t="shared" si="11"/>
        <v>1.4299999999999997</v>
      </c>
      <c r="BX16" s="108">
        <f t="shared" si="12"/>
        <v>-2.7999999999999994</v>
      </c>
      <c r="BY16" s="108">
        <f t="shared" si="13"/>
        <v>-5.72</v>
      </c>
      <c r="BZ16" s="108">
        <f t="shared" si="14"/>
        <v>-2.06</v>
      </c>
      <c r="CC16" s="87">
        <f t="shared" si="15"/>
        <v>6.8444795273271142</v>
      </c>
      <c r="CD16" s="87"/>
      <c r="CE16" s="87">
        <f>MMULT(MMULT(BW16:BZ16,AP15:AS18),CC23:CC26)</f>
        <v>1652.40639122525</v>
      </c>
      <c r="CF16" s="87">
        <f t="shared" si="30"/>
        <v>40.649801859606278</v>
      </c>
      <c r="CG16" s="116"/>
    </row>
    <row r="17" spans="1:85">
      <c r="A17" s="75">
        <v>10</v>
      </c>
      <c r="B17" s="123">
        <v>4.9000000000000004</v>
      </c>
      <c r="C17" s="123">
        <v>3.1</v>
      </c>
      <c r="D17" s="123"/>
      <c r="E17" s="123">
        <v>1.5</v>
      </c>
      <c r="F17" s="123">
        <v>0.1</v>
      </c>
      <c r="H17" s="87">
        <v>5.2</v>
      </c>
      <c r="I17" s="87">
        <v>2.7</v>
      </c>
      <c r="K17" s="87">
        <v>3.9</v>
      </c>
      <c r="L17" s="87">
        <v>1.4</v>
      </c>
      <c r="N17" s="87">
        <v>7.2</v>
      </c>
      <c r="O17" s="87">
        <v>3.6</v>
      </c>
      <c r="Q17" s="87">
        <v>6.1</v>
      </c>
      <c r="R17" s="87">
        <v>2.5</v>
      </c>
      <c r="S17" s="87"/>
      <c r="T17" s="87"/>
      <c r="U17" s="75">
        <v>7</v>
      </c>
      <c r="V17" s="105">
        <f t="shared" si="16"/>
        <v>0.30000000000000071</v>
      </c>
      <c r="W17" s="105">
        <f t="shared" si="17"/>
        <v>0.10000000000000009</v>
      </c>
      <c r="X17" s="105"/>
      <c r="Y17" s="105">
        <f t="shared" si="18"/>
        <v>0</v>
      </c>
      <c r="Z17" s="105">
        <f t="shared" si="19"/>
        <v>9.9999999999999978E-2</v>
      </c>
      <c r="AA17" s="108"/>
      <c r="AB17" s="105">
        <f t="shared" si="20"/>
        <v>4.9999999999999822E-2</v>
      </c>
      <c r="AC17" s="105">
        <f t="shared" si="21"/>
        <v>0.45000000000000018</v>
      </c>
      <c r="AD17" s="108"/>
      <c r="AE17" s="105">
        <f t="shared" si="22"/>
        <v>0.15000000000000036</v>
      </c>
      <c r="AF17" s="105">
        <f t="shared" si="23"/>
        <v>0.20000000000000018</v>
      </c>
      <c r="AG17" s="108"/>
      <c r="AH17" s="105">
        <f t="shared" si="24"/>
        <v>1.6999999999999993</v>
      </c>
      <c r="AI17" s="105">
        <f t="shared" si="25"/>
        <v>0.45000000000000018</v>
      </c>
      <c r="AJ17" s="108"/>
      <c r="AK17" s="105">
        <f t="shared" si="26"/>
        <v>1.3499999999999996</v>
      </c>
      <c r="AL17" s="105">
        <f t="shared" si="27"/>
        <v>0.30000000000000004</v>
      </c>
      <c r="AO17" s="75" t="s">
        <v>62</v>
      </c>
      <c r="AP17" s="108">
        <v>-25.736583977290376</v>
      </c>
      <c r="AQ17" s="108">
        <v>11.244144925699368</v>
      </c>
      <c r="AR17" s="108">
        <v>41.033324705302178</v>
      </c>
      <c r="AS17" s="108">
        <v>-28.538836693173209</v>
      </c>
      <c r="AT17" s="86"/>
      <c r="AU17" s="134"/>
      <c r="AV17" s="75">
        <v>8</v>
      </c>
      <c r="AW17" s="108">
        <f t="shared" si="1"/>
        <v>0.14000000000000057</v>
      </c>
      <c r="AX17" s="108">
        <f t="shared" si="2"/>
        <v>9.0000000000000302E-2</v>
      </c>
      <c r="AY17" s="108">
        <f t="shared" si="3"/>
        <v>5.0000000000000044E-2</v>
      </c>
      <c r="AZ17" s="108">
        <f t="shared" si="4"/>
        <v>-2.0000000000000018E-2</v>
      </c>
      <c r="BC17" s="86">
        <f t="shared" si="5"/>
        <v>0.17492855684535966</v>
      </c>
      <c r="BD17" s="86"/>
      <c r="BE17" s="86">
        <f>MMULT(MMULT(AW17:AZ17,AP15:AS18),BD23:BD26)</f>
        <v>0.28875965992756397</v>
      </c>
      <c r="BF17" s="75">
        <f t="shared" si="28"/>
        <v>0.53736361984001479</v>
      </c>
      <c r="BH17" s="130"/>
      <c r="BI17" s="75">
        <v>8</v>
      </c>
      <c r="BJ17" s="108">
        <f t="shared" si="6"/>
        <v>1.2000000000000002</v>
      </c>
      <c r="BK17" s="108">
        <f t="shared" si="7"/>
        <v>2.9999999999999805E-2</v>
      </c>
      <c r="BL17" s="108">
        <f t="shared" si="8"/>
        <v>1.9299999999999997</v>
      </c>
      <c r="BM17" s="108">
        <f t="shared" si="9"/>
        <v>0.41999999999999993</v>
      </c>
      <c r="BP17" s="108">
        <f t="shared" si="10"/>
        <v>2.3113199691950914</v>
      </c>
      <c r="BQ17" s="108"/>
      <c r="BR17" s="108">
        <f>MMULT(MMULT(BJ17:BM17,AP15:AS18),BQ23:BQ26)</f>
        <v>48.114574783966049</v>
      </c>
      <c r="BS17" s="108">
        <f t="shared" si="29"/>
        <v>6.9364670246434565</v>
      </c>
      <c r="BU17" s="130"/>
      <c r="BV17" s="75">
        <v>8</v>
      </c>
      <c r="BW17" s="108">
        <f t="shared" si="11"/>
        <v>2.4299999999999997</v>
      </c>
      <c r="BX17" s="108">
        <f t="shared" si="12"/>
        <v>-3.399999999999999</v>
      </c>
      <c r="BY17" s="108">
        <f t="shared" si="13"/>
        <v>-5.8199999999999994</v>
      </c>
      <c r="BZ17" s="108">
        <f t="shared" si="14"/>
        <v>-2.06</v>
      </c>
      <c r="CC17" s="87">
        <f t="shared" si="15"/>
        <v>7.4552598881594987</v>
      </c>
      <c r="CD17" s="87"/>
      <c r="CE17" s="87">
        <f>MMULT(MMULT(BW17:BZ17,AP15:AS18),CD23:CD26)</f>
        <v>2215.2200436711796</v>
      </c>
      <c r="CF17" s="87">
        <f t="shared" si="30"/>
        <v>47.066124162407718</v>
      </c>
      <c r="CG17" s="116"/>
    </row>
    <row r="18" spans="1:85">
      <c r="B18" s="123"/>
      <c r="C18" s="123"/>
      <c r="D18" s="123"/>
      <c r="E18" s="123"/>
      <c r="F18" s="123"/>
      <c r="H18" s="87"/>
      <c r="I18" s="87"/>
      <c r="K18" s="87"/>
      <c r="L18" s="87"/>
      <c r="U18" s="75">
        <v>8</v>
      </c>
      <c r="V18" s="105">
        <f t="shared" si="16"/>
        <v>9.9999999999999645E-2</v>
      </c>
      <c r="W18" s="105">
        <f t="shared" si="17"/>
        <v>0.10000000000000009</v>
      </c>
      <c r="X18" s="105"/>
      <c r="Y18" s="105">
        <f t="shared" si="18"/>
        <v>0.10000000000000009</v>
      </c>
      <c r="Z18" s="105">
        <f t="shared" si="19"/>
        <v>0</v>
      </c>
      <c r="AA18" s="108"/>
      <c r="AB18" s="105">
        <f t="shared" si="20"/>
        <v>1.4499999999999993</v>
      </c>
      <c r="AC18" s="105">
        <f t="shared" si="21"/>
        <v>0.44999999999999973</v>
      </c>
      <c r="AD18" s="108"/>
      <c r="AE18" s="105">
        <f t="shared" si="22"/>
        <v>1.25</v>
      </c>
      <c r="AF18" s="105">
        <f t="shared" si="23"/>
        <v>0.39999999999999991</v>
      </c>
      <c r="AG18" s="108"/>
      <c r="AH18" s="105">
        <f t="shared" si="24"/>
        <v>0.70000000000000018</v>
      </c>
      <c r="AI18" s="105">
        <f t="shared" si="25"/>
        <v>5.0000000000000266E-2</v>
      </c>
      <c r="AJ18" s="108"/>
      <c r="AK18" s="105">
        <f t="shared" si="26"/>
        <v>0.45000000000000018</v>
      </c>
      <c r="AL18" s="105">
        <f t="shared" si="27"/>
        <v>0.19999999999999996</v>
      </c>
      <c r="AO18" s="75" t="s">
        <v>63</v>
      </c>
      <c r="AP18" s="108">
        <v>18.485968715330348</v>
      </c>
      <c r="AQ18" s="108">
        <v>-34.585567648546039</v>
      </c>
      <c r="AR18" s="108">
        <v>-28.538836693173202</v>
      </c>
      <c r="AS18" s="108">
        <v>77.065122138992962</v>
      </c>
      <c r="AT18" s="86"/>
      <c r="AU18" s="134"/>
      <c r="AV18" s="75">
        <v>9</v>
      </c>
      <c r="AW18" s="108">
        <f t="shared" si="1"/>
        <v>-0.45999999999999908</v>
      </c>
      <c r="AX18" s="108">
        <f t="shared" si="2"/>
        <v>-0.4099999999999997</v>
      </c>
      <c r="AY18" s="108">
        <f t="shared" si="3"/>
        <v>-5.0000000000000044E-2</v>
      </c>
      <c r="AZ18" s="108">
        <f t="shared" si="4"/>
        <v>-2.0000000000000018E-2</v>
      </c>
      <c r="BC18" s="86">
        <f t="shared" si="5"/>
        <v>0.61854668376768374</v>
      </c>
      <c r="BD18" s="86"/>
      <c r="BE18" s="86">
        <f>MMULT(MMULT(AW18:AZ18,AP15:AS18),BE23:BE26)</f>
        <v>3.9699177968039328</v>
      </c>
      <c r="BF18" s="75">
        <f t="shared" si="28"/>
        <v>1.9924652561096097</v>
      </c>
      <c r="BH18" s="130"/>
      <c r="BI18" s="75">
        <v>9</v>
      </c>
      <c r="BJ18" s="108">
        <f t="shared" si="6"/>
        <v>0.60000000000000053</v>
      </c>
      <c r="BK18" s="108">
        <f t="shared" si="7"/>
        <v>-0.37000000000000011</v>
      </c>
      <c r="BL18" s="108">
        <f t="shared" si="8"/>
        <v>1.4299999999999997</v>
      </c>
      <c r="BM18" s="108">
        <f t="shared" si="9"/>
        <v>0.41999999999999993</v>
      </c>
      <c r="BP18" s="108">
        <f t="shared" si="10"/>
        <v>1.6486964547787444</v>
      </c>
      <c r="BQ18" s="108"/>
      <c r="BR18" s="108">
        <f>MMULT(MMULT(BJ18:BM18,AP15:AS18),BR23:BR26)</f>
        <v>44.139990502994721</v>
      </c>
      <c r="BS18" s="108">
        <f t="shared" si="29"/>
        <v>6.6437933820216539</v>
      </c>
      <c r="BU18" s="130"/>
      <c r="BV18" s="75">
        <v>9</v>
      </c>
      <c r="BW18" s="108">
        <f t="shared" si="11"/>
        <v>3.4299999999999997</v>
      </c>
      <c r="BX18" s="108">
        <f t="shared" si="12"/>
        <v>-2.899999999999999</v>
      </c>
      <c r="BY18" s="108">
        <f t="shared" si="13"/>
        <v>-5.72</v>
      </c>
      <c r="BZ18" s="108">
        <f t="shared" si="14"/>
        <v>-2.16</v>
      </c>
      <c r="CC18" s="87">
        <f t="shared" si="15"/>
        <v>7.5867582009709515</v>
      </c>
      <c r="CD18" s="87"/>
      <c r="CE18" s="87">
        <f>MMULT(MMULT(BW18:BZ18,AP15:AS18),CE23:CE26)</f>
        <v>2413.237958831674</v>
      </c>
      <c r="CF18" s="87">
        <f t="shared" si="30"/>
        <v>49.124718409693443</v>
      </c>
      <c r="CG18" s="116"/>
    </row>
    <row r="19" spans="1:85">
      <c r="A19" s="6" t="s">
        <v>185</v>
      </c>
      <c r="B19" s="123">
        <f>SUM(B8:B17)</f>
        <v>48.599999999999994</v>
      </c>
      <c r="C19" s="123">
        <f>SUM(C8:C17)</f>
        <v>33.099999999999994</v>
      </c>
      <c r="D19" s="123"/>
      <c r="E19" s="123">
        <f>SUM(E8:E17)</f>
        <v>14.5</v>
      </c>
      <c r="F19" s="123">
        <f>SUM(F8:F17)</f>
        <v>2.2000000000000002</v>
      </c>
      <c r="G19" s="87"/>
      <c r="H19" s="123">
        <f>SUM(H8:H17)</f>
        <v>61</v>
      </c>
      <c r="I19" s="123">
        <f>SUM(I8:I17)</f>
        <v>28.7</v>
      </c>
      <c r="J19" s="123"/>
      <c r="K19" s="123">
        <f>SUM(K8:K17)</f>
        <v>43.7</v>
      </c>
      <c r="L19" s="123">
        <f>SUM(L8:L17)</f>
        <v>13.8</v>
      </c>
      <c r="M19" s="87"/>
      <c r="N19" s="123">
        <f>SUM(N8:N17)</f>
        <v>65.7</v>
      </c>
      <c r="O19" s="123">
        <f>SUM(O8:O17)</f>
        <v>29.4</v>
      </c>
      <c r="P19" s="123"/>
      <c r="Q19" s="123">
        <f>SUM(Q8:Q17)</f>
        <v>57.699999999999996</v>
      </c>
      <c r="R19" s="123">
        <f>SUM(R8:R17)</f>
        <v>20.399999999999999</v>
      </c>
      <c r="S19" s="123"/>
      <c r="T19" s="123"/>
      <c r="U19" s="75">
        <v>9</v>
      </c>
      <c r="V19" s="105">
        <f t="shared" si="16"/>
        <v>0.5</v>
      </c>
      <c r="W19" s="105">
        <f t="shared" si="17"/>
        <v>0.39999999999999991</v>
      </c>
      <c r="X19" s="105"/>
      <c r="Y19" s="105">
        <f t="shared" si="18"/>
        <v>0</v>
      </c>
      <c r="Z19" s="105">
        <f t="shared" si="19"/>
        <v>0</v>
      </c>
      <c r="AA19" s="108"/>
      <c r="AB19" s="105">
        <f t="shared" si="20"/>
        <v>0.25</v>
      </c>
      <c r="AC19" s="105">
        <f t="shared" si="21"/>
        <v>5.0000000000000266E-2</v>
      </c>
      <c r="AD19" s="108"/>
      <c r="AE19" s="105">
        <f t="shared" si="22"/>
        <v>4.9999999999999822E-2</v>
      </c>
      <c r="AF19" s="105">
        <f t="shared" si="23"/>
        <v>9.9999999999999867E-2</v>
      </c>
      <c r="AG19" s="108"/>
      <c r="AH19" s="105">
        <f t="shared" si="24"/>
        <v>0.10000000000000053</v>
      </c>
      <c r="AI19" s="105">
        <f t="shared" si="25"/>
        <v>0.45000000000000018</v>
      </c>
      <c r="AJ19" s="108"/>
      <c r="AK19" s="105">
        <f t="shared" si="26"/>
        <v>4.9999999999999822E-2</v>
      </c>
      <c r="AL19" s="105">
        <f t="shared" si="27"/>
        <v>0.19999999999999996</v>
      </c>
      <c r="AU19" s="134"/>
      <c r="AV19" s="75">
        <v>10</v>
      </c>
      <c r="AW19" s="108">
        <f t="shared" si="1"/>
        <v>4.0000000000000924E-2</v>
      </c>
      <c r="AX19" s="108">
        <f t="shared" si="2"/>
        <v>-0.20999999999999952</v>
      </c>
      <c r="AY19" s="108">
        <f t="shared" si="3"/>
        <v>5.0000000000000044E-2</v>
      </c>
      <c r="AZ19" s="108">
        <f t="shared" si="4"/>
        <v>-0.12000000000000002</v>
      </c>
      <c r="BC19" s="86">
        <f t="shared" si="5"/>
        <v>0.25019992006393582</v>
      </c>
      <c r="BD19" s="86"/>
      <c r="BE19" s="86">
        <f>MMULT(MMULT(AW19:AZ19,AP15:AS18),BF23:BF26)</f>
        <v>0.89944868387220378</v>
      </c>
      <c r="BF19" s="75">
        <f t="shared" si="28"/>
        <v>0.94839268442570968</v>
      </c>
      <c r="BH19" s="130"/>
      <c r="BI19" s="75">
        <v>10</v>
      </c>
      <c r="BJ19" s="108">
        <f t="shared" si="6"/>
        <v>1.1000000000000005</v>
      </c>
      <c r="BK19" s="108">
        <f t="shared" si="7"/>
        <v>0.73</v>
      </c>
      <c r="BL19" s="108">
        <f t="shared" si="8"/>
        <v>1.7299999999999995</v>
      </c>
      <c r="BM19" s="108">
        <f t="shared" si="9"/>
        <v>1.1199999999999999</v>
      </c>
      <c r="BP19" s="108">
        <f t="shared" si="10"/>
        <v>2.4474885086553519</v>
      </c>
      <c r="BQ19" s="108"/>
      <c r="BR19" s="108">
        <f>MMULT(MMULT(BJ19:BM19,AP15:AS18),BS23:BS26)</f>
        <v>49.497332488374454</v>
      </c>
      <c r="BS19" s="108">
        <f t="shared" si="29"/>
        <v>7.0354340653846261</v>
      </c>
      <c r="BU19" s="130"/>
      <c r="BV19" s="75">
        <v>10</v>
      </c>
      <c r="BW19" s="108">
        <f t="shared" si="11"/>
        <v>-6.57</v>
      </c>
      <c r="BX19" s="108">
        <f t="shared" si="12"/>
        <v>-2.94</v>
      </c>
      <c r="BY19" s="108">
        <f t="shared" si="13"/>
        <v>-5.77</v>
      </c>
      <c r="BZ19" s="108">
        <f t="shared" si="14"/>
        <v>-2.04</v>
      </c>
      <c r="CC19" s="87">
        <f t="shared" si="15"/>
        <v>9.4479098217542283</v>
      </c>
      <c r="CD19" s="87"/>
      <c r="CE19" s="87">
        <f>MMULT(MMULT(BW19:BZ19,AP15:AS18),CF23:CF26)</f>
        <v>188.28712808289117</v>
      </c>
      <c r="CF19" s="87">
        <f t="shared" si="30"/>
        <v>13.721775689862124</v>
      </c>
      <c r="CG19" s="116"/>
    </row>
    <row r="20" spans="1:85">
      <c r="A20" s="75" t="s">
        <v>155</v>
      </c>
      <c r="B20" s="75">
        <v>10</v>
      </c>
      <c r="C20" s="75">
        <v>10</v>
      </c>
      <c r="E20" s="75">
        <v>10</v>
      </c>
      <c r="F20" s="75">
        <v>10</v>
      </c>
      <c r="H20" s="75">
        <v>10</v>
      </c>
      <c r="I20" s="75">
        <v>10</v>
      </c>
      <c r="K20" s="75">
        <v>10</v>
      </c>
      <c r="L20" s="75">
        <v>10</v>
      </c>
      <c r="N20" s="75">
        <v>10</v>
      </c>
      <c r="O20" s="75">
        <v>10</v>
      </c>
      <c r="Q20" s="75">
        <v>10</v>
      </c>
      <c r="R20" s="75">
        <v>10</v>
      </c>
      <c r="S20" s="123"/>
      <c r="T20" s="123"/>
      <c r="U20" s="75">
        <v>10</v>
      </c>
      <c r="V20" s="105">
        <f t="shared" si="16"/>
        <v>0</v>
      </c>
      <c r="W20" s="105">
        <f t="shared" si="17"/>
        <v>0.19999999999999973</v>
      </c>
      <c r="X20" s="105"/>
      <c r="Y20" s="105">
        <f t="shared" si="18"/>
        <v>0.10000000000000009</v>
      </c>
      <c r="Z20" s="105">
        <f t="shared" si="19"/>
        <v>0.1</v>
      </c>
      <c r="AA20" s="108"/>
      <c r="AB20" s="105">
        <f t="shared" si="20"/>
        <v>1.1499999999999995</v>
      </c>
      <c r="AC20" s="105">
        <f t="shared" si="21"/>
        <v>0.14999999999999947</v>
      </c>
      <c r="AD20" s="108"/>
      <c r="AE20" s="105">
        <f t="shared" si="22"/>
        <v>0.64999999999999991</v>
      </c>
      <c r="AF20" s="105">
        <f t="shared" si="23"/>
        <v>0</v>
      </c>
      <c r="AG20" s="108"/>
      <c r="AH20" s="105">
        <f t="shared" si="24"/>
        <v>0.60000000000000053</v>
      </c>
      <c r="AI20" s="105">
        <f t="shared" si="25"/>
        <v>0.64999999999999991</v>
      </c>
      <c r="AJ20" s="108"/>
      <c r="AK20" s="105">
        <f t="shared" si="26"/>
        <v>0.25</v>
      </c>
      <c r="AL20" s="105">
        <f t="shared" si="27"/>
        <v>0.5</v>
      </c>
      <c r="AT20" s="96"/>
      <c r="AU20" s="130"/>
      <c r="BH20" s="130"/>
      <c r="BU20" s="130"/>
      <c r="CG20" s="116"/>
    </row>
    <row r="21" spans="1:85">
      <c r="A21" s="75" t="s">
        <v>51</v>
      </c>
      <c r="B21" s="123">
        <f>MIN(B8:B17)</f>
        <v>4.4000000000000004</v>
      </c>
      <c r="C21" s="123">
        <f>MIN(C8:C17)</f>
        <v>2.9</v>
      </c>
      <c r="D21" s="123"/>
      <c r="E21" s="123">
        <f>MIN(E8:E17)</f>
        <v>1.3</v>
      </c>
      <c r="F21" s="123">
        <f>MIN(F8:F17)</f>
        <v>0.1</v>
      </c>
      <c r="G21" s="87"/>
      <c r="H21" s="123">
        <f>MIN(H8:H17)</f>
        <v>4.9000000000000004</v>
      </c>
      <c r="I21" s="123">
        <f>MIN(I8:I17)</f>
        <v>2.2999999999999998</v>
      </c>
      <c r="J21" s="123"/>
      <c r="K21" s="123">
        <f>MIN(K8:K17)</f>
        <v>3.3</v>
      </c>
      <c r="L21" s="123">
        <f>MIN(L8:L17)</f>
        <v>1</v>
      </c>
      <c r="M21" s="87"/>
      <c r="N21" s="123">
        <f>MIN(N8:N17)</f>
        <v>4.9000000000000004</v>
      </c>
      <c r="O21" s="123">
        <f>MIN(O8:O17)</f>
        <v>2.5</v>
      </c>
      <c r="P21" s="123"/>
      <c r="Q21" s="123">
        <f>MIN(Q8:Q17)</f>
        <v>4.5</v>
      </c>
      <c r="R21" s="123">
        <f>MIN(R8:R17)</f>
        <v>1.7</v>
      </c>
      <c r="S21" s="123"/>
      <c r="T21" s="123"/>
      <c r="U21" s="96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U21" s="130"/>
      <c r="AV21" s="75" t="s">
        <v>453</v>
      </c>
      <c r="BH21" s="130"/>
      <c r="BI21" s="75" t="s">
        <v>453</v>
      </c>
      <c r="BU21" s="130"/>
      <c r="CG21" s="116"/>
    </row>
    <row r="22" spans="1:85">
      <c r="A22" s="75" t="s">
        <v>53</v>
      </c>
      <c r="B22" s="123">
        <f>MAX(B8:B17)</f>
        <v>5.4</v>
      </c>
      <c r="C22" s="123">
        <f>MAX(C8:C17)</f>
        <v>3.9</v>
      </c>
      <c r="D22" s="123"/>
      <c r="E22" s="123">
        <f>MAX(E8:E17)</f>
        <v>1.7</v>
      </c>
      <c r="F22" s="123">
        <f>MAX(F8:F17)</f>
        <v>0.4</v>
      </c>
      <c r="G22" s="87"/>
      <c r="H22" s="123">
        <f>MAX(H8:H17)</f>
        <v>7</v>
      </c>
      <c r="I22" s="123">
        <f>MAX(I8:I17)</f>
        <v>3.3</v>
      </c>
      <c r="J22" s="123"/>
      <c r="K22" s="123">
        <f>MAX(K8:K17)</f>
        <v>4.9000000000000004</v>
      </c>
      <c r="L22" s="123">
        <f>MAX(L8:L17)</f>
        <v>1.6</v>
      </c>
      <c r="M22" s="87"/>
      <c r="N22" s="123">
        <f>MAX(N8:N17)</f>
        <v>7.6</v>
      </c>
      <c r="O22" s="123">
        <f>MAX(O8:O17)</f>
        <v>3.6</v>
      </c>
      <c r="P22" s="123"/>
      <c r="Q22" s="123">
        <f>MAX(Q8:Q17)</f>
        <v>6.6</v>
      </c>
      <c r="R22" s="123">
        <f>MAX(R8:R17)</f>
        <v>2.5</v>
      </c>
      <c r="S22" s="123"/>
      <c r="T22" s="123"/>
      <c r="U22" s="75" t="s">
        <v>178</v>
      </c>
      <c r="V22" s="108">
        <f>AVERAGE(V11:V20)</f>
        <v>0.22000000000000003</v>
      </c>
      <c r="W22" s="108">
        <f>AVERAGE(W11:W20)</f>
        <v>0.24999999999999994</v>
      </c>
      <c r="X22" s="108"/>
      <c r="Y22" s="108">
        <f>AVERAGE(Y11:Y20)</f>
        <v>7.0000000000000021E-2</v>
      </c>
      <c r="Z22" s="108">
        <f>AVERAGE(Z11:Z20)</f>
        <v>0.04</v>
      </c>
      <c r="AA22" s="108"/>
      <c r="AB22" s="108">
        <f>AVERAGE(AB11:AB20)</f>
        <v>0.57999999999999996</v>
      </c>
      <c r="AC22" s="108">
        <f>AVERAGE(AC11:AC20)</f>
        <v>0.27000000000000007</v>
      </c>
      <c r="AD22" s="108"/>
      <c r="AE22" s="108">
        <f>AVERAGE(AE11:AE20)</f>
        <v>0.33</v>
      </c>
      <c r="AF22" s="108">
        <f>AVERAGE(AF11:AF20)</f>
        <v>0.12</v>
      </c>
      <c r="AG22" s="108"/>
      <c r="AH22" s="108">
        <f>AVERAGE(AH11:AH20)</f>
        <v>0.61</v>
      </c>
      <c r="AI22" s="108">
        <f>AVERAGE(AI11:AI20)</f>
        <v>0.24</v>
      </c>
      <c r="AJ22" s="108"/>
      <c r="AK22" s="108">
        <f>AVERAGE(AK11:AK20)</f>
        <v>0.41000000000000003</v>
      </c>
      <c r="AL22" s="108">
        <f>AVERAGE(AL11:AL20)</f>
        <v>0.24000000000000005</v>
      </c>
      <c r="AT22" s="86"/>
      <c r="AU22" s="130"/>
      <c r="AW22" s="75">
        <v>1</v>
      </c>
      <c r="AX22" s="75">
        <v>2</v>
      </c>
      <c r="AY22" s="75">
        <v>3</v>
      </c>
      <c r="AZ22" s="75">
        <v>4</v>
      </c>
      <c r="BA22" s="75">
        <v>5</v>
      </c>
      <c r="BB22" s="75">
        <v>6</v>
      </c>
      <c r="BC22" s="75">
        <v>7</v>
      </c>
      <c r="BD22" s="75">
        <v>8</v>
      </c>
      <c r="BE22" s="75">
        <v>9</v>
      </c>
      <c r="BF22" s="75">
        <v>10</v>
      </c>
      <c r="BH22" s="130"/>
      <c r="BJ22" s="75">
        <v>1</v>
      </c>
      <c r="BK22" s="75">
        <v>2</v>
      </c>
      <c r="BL22" s="75">
        <v>3</v>
      </c>
      <c r="BM22" s="75">
        <v>4</v>
      </c>
      <c r="BN22" s="75">
        <v>5</v>
      </c>
      <c r="BO22" s="75">
        <v>6</v>
      </c>
      <c r="BP22" s="75">
        <v>7</v>
      </c>
      <c r="BQ22" s="75">
        <v>8</v>
      </c>
      <c r="BR22" s="75">
        <v>9</v>
      </c>
      <c r="BS22" s="75">
        <v>10</v>
      </c>
      <c r="BU22" s="130"/>
      <c r="BW22" s="75">
        <v>1</v>
      </c>
      <c r="BX22" s="75">
        <v>2</v>
      </c>
      <c r="BY22" s="75">
        <v>3</v>
      </c>
      <c r="BZ22" s="75">
        <v>4</v>
      </c>
      <c r="CA22" s="75">
        <v>5</v>
      </c>
      <c r="CB22" s="75">
        <v>6</v>
      </c>
      <c r="CC22" s="75">
        <v>7</v>
      </c>
      <c r="CD22" s="75">
        <v>8</v>
      </c>
      <c r="CE22" s="75">
        <v>9</v>
      </c>
      <c r="CF22" s="75">
        <v>10</v>
      </c>
      <c r="CG22" s="116"/>
    </row>
    <row r="23" spans="1:85">
      <c r="A23" s="75" t="s">
        <v>178</v>
      </c>
      <c r="B23" s="123">
        <f>AVERAGE(B8:B17)</f>
        <v>4.8599999999999994</v>
      </c>
      <c r="C23" s="123">
        <f>AVERAGE(C8:C17)</f>
        <v>3.3099999999999996</v>
      </c>
      <c r="D23" s="123"/>
      <c r="E23" s="123">
        <f>AVERAGE(E8:E17)</f>
        <v>1.45</v>
      </c>
      <c r="F23" s="123">
        <f>AVERAGE(F8:F17)</f>
        <v>0.22000000000000003</v>
      </c>
      <c r="G23" s="87"/>
      <c r="H23" s="123">
        <f>AVERAGE(H8:H17)</f>
        <v>6.1</v>
      </c>
      <c r="I23" s="123">
        <f>AVERAGE(I8:I17)</f>
        <v>2.87</v>
      </c>
      <c r="J23" s="123"/>
      <c r="K23" s="123">
        <f>AVERAGE(K8:K17)</f>
        <v>4.37</v>
      </c>
      <c r="L23" s="123">
        <f>AVERAGE(L8:L17)</f>
        <v>1.3800000000000001</v>
      </c>
      <c r="M23" s="87"/>
      <c r="N23" s="123">
        <f>AVERAGE(N8:N17)</f>
        <v>6.57</v>
      </c>
      <c r="O23" s="123">
        <f>AVERAGE(O8:O17)</f>
        <v>2.94</v>
      </c>
      <c r="P23" s="123"/>
      <c r="Q23" s="123">
        <f>AVERAGE(Q8:Q17)</f>
        <v>5.77</v>
      </c>
      <c r="R23" s="123">
        <f>AVERAGE(R8:R17)</f>
        <v>2.04</v>
      </c>
      <c r="S23" s="123"/>
      <c r="T23" s="123"/>
      <c r="U23" s="75" t="s">
        <v>160</v>
      </c>
      <c r="V23" s="108">
        <f>AVERAGE(V11:V20,AB11:AB20,AH11:AH20)</f>
        <v>0.47000000000000014</v>
      </c>
      <c r="W23" s="108">
        <f>AVERAGE(W11:W20,AC11:AC20,AI11:AI20)</f>
        <v>0.2533333333333333</v>
      </c>
      <c r="X23" s="108"/>
      <c r="Y23" s="108">
        <f>AVERAGE(Y11:Y20,AE11:AE20,AK11:AK20)</f>
        <v>0.27000000000000007</v>
      </c>
      <c r="Z23" s="108">
        <f>AVERAGE(Z11:Z20,AF11:AF20,AL11:AL20)</f>
        <v>0.13333333333333336</v>
      </c>
      <c r="AT23" s="86"/>
      <c r="AU23" s="134"/>
      <c r="AV23" s="106" t="s">
        <v>60</v>
      </c>
      <c r="AW23" s="75">
        <v>0.24</v>
      </c>
      <c r="AX23" s="75">
        <v>4.0000000000000924E-2</v>
      </c>
      <c r="AY23" s="75">
        <v>-0.15999999999999925</v>
      </c>
      <c r="AZ23" s="75">
        <v>-0.26</v>
      </c>
      <c r="BA23" s="75">
        <v>0.14000000000000057</v>
      </c>
      <c r="BB23" s="75">
        <v>0.54000000000000092</v>
      </c>
      <c r="BC23" s="75">
        <v>-0.26</v>
      </c>
      <c r="BD23" s="75">
        <v>0.14000000000000057</v>
      </c>
      <c r="BE23" s="75">
        <v>-0.45999999999999908</v>
      </c>
      <c r="BF23" s="75">
        <v>4.0000000000000924E-2</v>
      </c>
      <c r="BH23" s="130"/>
      <c r="BI23" s="106" t="s">
        <v>60</v>
      </c>
      <c r="BJ23" s="108">
        <v>0.2</v>
      </c>
      <c r="BK23" s="108">
        <v>-0.3</v>
      </c>
      <c r="BL23" s="108">
        <v>1</v>
      </c>
      <c r="BM23" s="108">
        <v>0.2</v>
      </c>
      <c r="BN23" s="108">
        <v>0.4</v>
      </c>
      <c r="BO23" s="108">
        <v>1.5</v>
      </c>
      <c r="BP23" s="108">
        <v>-1.2</v>
      </c>
      <c r="BQ23" s="108">
        <v>1.2</v>
      </c>
      <c r="BR23" s="108">
        <v>0.60000000000000053</v>
      </c>
      <c r="BS23" s="108">
        <v>1.1000000000000001</v>
      </c>
      <c r="BT23" s="108"/>
      <c r="BU23" s="130"/>
      <c r="BV23" s="106" t="s">
        <v>60</v>
      </c>
      <c r="BW23" s="108">
        <v>-4.57</v>
      </c>
      <c r="BX23" s="108">
        <v>-3.57</v>
      </c>
      <c r="BY23" s="108">
        <v>-2.57</v>
      </c>
      <c r="BZ23" s="108">
        <v>-1.57</v>
      </c>
      <c r="CA23" s="108">
        <v>-0.56999999999999995</v>
      </c>
      <c r="CB23" s="108">
        <v>0.43</v>
      </c>
      <c r="CC23" s="108">
        <v>1.43</v>
      </c>
      <c r="CD23" s="108">
        <v>2.4300000000000002</v>
      </c>
      <c r="CE23" s="108">
        <v>3.43</v>
      </c>
      <c r="CF23" s="108">
        <v>-6.57</v>
      </c>
      <c r="CG23" s="116"/>
    </row>
    <row r="24" spans="1:85">
      <c r="A24" s="75" t="s">
        <v>161</v>
      </c>
      <c r="B24" s="123">
        <f>MEDIAN(B8:B17)</f>
        <v>4.9000000000000004</v>
      </c>
      <c r="C24" s="123">
        <f>MEDIAN(C8:C17)</f>
        <v>3.3</v>
      </c>
      <c r="D24" s="123"/>
      <c r="E24" s="123">
        <f>MEDIAN(E8:E17)</f>
        <v>1.4</v>
      </c>
      <c r="F24" s="123">
        <f>MEDIAN(F8:F17)</f>
        <v>0.2</v>
      </c>
      <c r="G24" s="87"/>
      <c r="H24" s="123">
        <f>MEDIAN(H8:H17)</f>
        <v>6.35</v>
      </c>
      <c r="I24" s="123">
        <f>MEDIAN(I8:I17)</f>
        <v>2.8499999999999996</v>
      </c>
      <c r="J24" s="123"/>
      <c r="K24" s="123">
        <f>MEDIAN(K8:K17)</f>
        <v>4.55</v>
      </c>
      <c r="L24" s="123">
        <f>MEDIAN(L8:L17)</f>
        <v>1.4</v>
      </c>
      <c r="M24" s="87"/>
      <c r="N24" s="123">
        <f>MEDIAN(N8:N17)</f>
        <v>6.6</v>
      </c>
      <c r="O24" s="123">
        <f>MEDIAN(O8:O17)</f>
        <v>2.95</v>
      </c>
      <c r="P24" s="123"/>
      <c r="Q24" s="123">
        <f>MEDIAN(Q8:Q17)</f>
        <v>5.85</v>
      </c>
      <c r="R24" s="123">
        <f>MEDIAN(R8:R17)</f>
        <v>2</v>
      </c>
      <c r="S24" s="123"/>
      <c r="T24" s="123"/>
      <c r="AT24" s="86"/>
      <c r="AU24" s="134"/>
      <c r="AV24" s="106" t="s">
        <v>61</v>
      </c>
      <c r="AW24" s="75">
        <v>0.19</v>
      </c>
      <c r="AX24" s="75">
        <v>-0.31</v>
      </c>
      <c r="AY24" s="75">
        <v>-0.10999999999999943</v>
      </c>
      <c r="AZ24" s="75">
        <v>-0.21</v>
      </c>
      <c r="BA24" s="75">
        <v>0.28999999999999998</v>
      </c>
      <c r="BB24" s="75">
        <v>0.59</v>
      </c>
      <c r="BC24" s="75">
        <v>9.0000000000000302E-2</v>
      </c>
      <c r="BD24" s="75">
        <v>9.0000000000000302E-2</v>
      </c>
      <c r="BE24" s="75">
        <v>-0.41</v>
      </c>
      <c r="BF24" s="75">
        <v>-0.21</v>
      </c>
      <c r="BH24" s="130"/>
      <c r="BI24" s="106" t="s">
        <v>61</v>
      </c>
      <c r="BJ24" s="108">
        <v>0.43</v>
      </c>
      <c r="BK24" s="108">
        <v>-0.17</v>
      </c>
      <c r="BL24" s="108">
        <v>0.13</v>
      </c>
      <c r="BM24" s="108">
        <v>2.9999999999999805E-2</v>
      </c>
      <c r="BN24" s="108">
        <v>0.13</v>
      </c>
      <c r="BO24" s="108">
        <v>0.13</v>
      </c>
      <c r="BP24" s="108">
        <v>-0.37</v>
      </c>
      <c r="BQ24" s="108">
        <v>2.9999999999999805E-2</v>
      </c>
      <c r="BR24" s="108">
        <v>-0.37</v>
      </c>
      <c r="BS24" s="108">
        <v>0.73</v>
      </c>
      <c r="BT24" s="108"/>
      <c r="BU24" s="130"/>
      <c r="BV24" s="106" t="s">
        <v>61</v>
      </c>
      <c r="BW24" s="108">
        <v>-2.9</v>
      </c>
      <c r="BX24" s="108">
        <v>-3.1</v>
      </c>
      <c r="BY24" s="108">
        <v>-3.2</v>
      </c>
      <c r="BZ24" s="108">
        <v>-2.8</v>
      </c>
      <c r="CA24" s="108">
        <v>-2.4</v>
      </c>
      <c r="CB24" s="108">
        <v>-3.2</v>
      </c>
      <c r="CC24" s="108">
        <v>-2.8</v>
      </c>
      <c r="CD24" s="108">
        <v>-3.4</v>
      </c>
      <c r="CE24" s="108">
        <v>-2.9</v>
      </c>
      <c r="CF24" s="108">
        <v>-2.94</v>
      </c>
      <c r="CG24" s="116"/>
    </row>
    <row r="25" spans="1:85">
      <c r="A25" s="75" t="s">
        <v>330</v>
      </c>
      <c r="B25" s="123">
        <f>VAR(B8:B17)</f>
        <v>8.4888888888888916E-2</v>
      </c>
      <c r="C25" s="123">
        <f>VAR(C8:C17)</f>
        <v>9.4333333333333325E-2</v>
      </c>
      <c r="D25" s="123"/>
      <c r="E25" s="123">
        <f>VAR(E8:E17)</f>
        <v>1.1666666666666667E-2</v>
      </c>
      <c r="F25" s="123">
        <f>VAR(F8:F17)</f>
        <v>6.2222222222222279E-3</v>
      </c>
      <c r="G25" s="87"/>
      <c r="H25" s="123">
        <f>VAR(H8:H17)</f>
        <v>0.52888888888888785</v>
      </c>
      <c r="I25" s="123">
        <f>VAR(I8:I17)</f>
        <v>0.11566666666666631</v>
      </c>
      <c r="J25" s="123"/>
      <c r="K25" s="123">
        <f>VAR(K8:K17)</f>
        <v>0.2378888888888879</v>
      </c>
      <c r="L25" s="123">
        <f>VAR(L8:L17)</f>
        <v>2.8444444444444075E-2</v>
      </c>
      <c r="M25" s="87"/>
      <c r="N25" s="123">
        <f>VAR(N8:N17)</f>
        <v>0.64677777777777434</v>
      </c>
      <c r="O25" s="123">
        <f>VAR(O8:O17)</f>
        <v>0.11377777777777946</v>
      </c>
      <c r="P25" s="123"/>
      <c r="Q25" s="123">
        <f>VAR(Q8:Q17)</f>
        <v>0.3601111111111111</v>
      </c>
      <c r="R25" s="123">
        <f>VAR(R8:R17)</f>
        <v>8.4888888888889208E-2</v>
      </c>
      <c r="S25" s="125"/>
      <c r="T25" s="125"/>
      <c r="AB25" s="127"/>
      <c r="AC25" s="128"/>
      <c r="AD25" s="128"/>
      <c r="AE25" s="128"/>
      <c r="AF25" s="128"/>
      <c r="AG25" s="128"/>
      <c r="AH25" s="128"/>
      <c r="AI25" s="128"/>
      <c r="AJ25" s="129"/>
      <c r="AT25" s="86"/>
      <c r="AU25" s="134"/>
      <c r="AV25" s="106" t="s">
        <v>62</v>
      </c>
      <c r="AW25" s="75">
        <v>-0.05</v>
      </c>
      <c r="AX25" s="75">
        <v>-0.05</v>
      </c>
      <c r="AY25" s="75">
        <v>-0.15</v>
      </c>
      <c r="AZ25" s="75">
        <v>0.05</v>
      </c>
      <c r="BA25" s="75">
        <v>-0.05</v>
      </c>
      <c r="BB25" s="75">
        <v>0.25</v>
      </c>
      <c r="BC25" s="75">
        <v>-0.05</v>
      </c>
      <c r="BD25" s="75">
        <v>0.05</v>
      </c>
      <c r="BE25" s="75">
        <v>-0.05</v>
      </c>
      <c r="BF25" s="75">
        <v>0.05</v>
      </c>
      <c r="BH25" s="130"/>
      <c r="BI25" s="106" t="s">
        <v>62</v>
      </c>
      <c r="BJ25" s="108">
        <v>1.63</v>
      </c>
      <c r="BK25" s="108">
        <v>0.73</v>
      </c>
      <c r="BL25" s="108">
        <v>1.53</v>
      </c>
      <c r="BM25" s="108">
        <v>1.23</v>
      </c>
      <c r="BN25" s="108">
        <v>1.43</v>
      </c>
      <c r="BO25" s="108">
        <v>2.23</v>
      </c>
      <c r="BP25" s="108">
        <v>0.13</v>
      </c>
      <c r="BQ25" s="108">
        <v>1.93</v>
      </c>
      <c r="BR25" s="108">
        <v>1.43</v>
      </c>
      <c r="BS25" s="108">
        <v>1.73</v>
      </c>
      <c r="BT25" s="108"/>
      <c r="BU25" s="130"/>
      <c r="BV25" s="106" t="s">
        <v>62</v>
      </c>
      <c r="BW25" s="108">
        <v>-5.82</v>
      </c>
      <c r="BX25" s="108">
        <v>-5.92</v>
      </c>
      <c r="BY25" s="108">
        <v>-5.72</v>
      </c>
      <c r="BZ25" s="108">
        <v>-5.82</v>
      </c>
      <c r="CA25" s="108">
        <v>-5.52</v>
      </c>
      <c r="CB25" s="108">
        <v>-5.82</v>
      </c>
      <c r="CC25" s="108">
        <v>-5.72</v>
      </c>
      <c r="CD25" s="108">
        <v>-5.82</v>
      </c>
      <c r="CE25" s="108">
        <v>-5.72</v>
      </c>
      <c r="CF25" s="108">
        <v>-5.77</v>
      </c>
      <c r="CG25" s="116"/>
    </row>
    <row r="26" spans="1:85">
      <c r="A26" s="96" t="s">
        <v>184</v>
      </c>
      <c r="B26" s="125">
        <f>STDEV(B8:B17)</f>
        <v>0.29135697844549546</v>
      </c>
      <c r="C26" s="125">
        <f>STDEV(C8:C17)</f>
        <v>0.30713731999438515</v>
      </c>
      <c r="D26" s="125"/>
      <c r="E26" s="125">
        <f>STDEV(E8:E17)</f>
        <v>0.10801234497346433</v>
      </c>
      <c r="F26" s="125">
        <f>STDEV(F8:F17)</f>
        <v>7.8881063774661586E-2</v>
      </c>
      <c r="G26" s="87"/>
      <c r="H26" s="125">
        <f>STDEV(H8:H17)</f>
        <v>0.7272474743090469</v>
      </c>
      <c r="I26" s="125">
        <f>STDEV(I8:I17)</f>
        <v>0.34009802508492504</v>
      </c>
      <c r="J26" s="125"/>
      <c r="K26" s="125">
        <f>STDEV(K8:K17)</f>
        <v>0.48773854562551022</v>
      </c>
      <c r="L26" s="125">
        <f>STDEV(L8:L17)</f>
        <v>0.16865480854231246</v>
      </c>
      <c r="M26" s="87"/>
      <c r="N26" s="125">
        <f>STDEV(N8:N17)</f>
        <v>0.80422495470967226</v>
      </c>
      <c r="O26" s="125">
        <f>STDEV(O8:O17)</f>
        <v>0.33730961708462964</v>
      </c>
      <c r="P26" s="125"/>
      <c r="Q26" s="125">
        <f>STDEV(Q8:Q17)</f>
        <v>0.60009258544920474</v>
      </c>
      <c r="R26" s="125">
        <f>STDEV(R8:R17)</f>
        <v>0.29135697844549596</v>
      </c>
      <c r="U26" s="126" t="s">
        <v>205</v>
      </c>
      <c r="X26" s="75">
        <v>10</v>
      </c>
      <c r="AB26" s="130"/>
      <c r="AC26" s="96" t="s">
        <v>301</v>
      </c>
      <c r="AD26" s="96"/>
      <c r="AE26" s="96"/>
      <c r="AF26" s="96"/>
      <c r="AG26" s="96"/>
      <c r="AH26" s="96"/>
      <c r="AI26" s="96"/>
      <c r="AJ26" s="116"/>
      <c r="AU26" s="134"/>
      <c r="AV26" s="106" t="s">
        <v>63</v>
      </c>
      <c r="AW26" s="75">
        <v>-0.02</v>
      </c>
      <c r="AX26" s="75">
        <v>-0.02</v>
      </c>
      <c r="AY26" s="75">
        <v>-0.02</v>
      </c>
      <c r="AZ26" s="75">
        <v>-0.02</v>
      </c>
      <c r="BA26" s="75">
        <v>-0.02</v>
      </c>
      <c r="BB26" s="75">
        <v>0.18</v>
      </c>
      <c r="BC26" s="75">
        <v>0.08</v>
      </c>
      <c r="BD26" s="75">
        <v>-0.02</v>
      </c>
      <c r="BE26" s="75">
        <v>-0.02</v>
      </c>
      <c r="BF26" s="75">
        <v>-0.12</v>
      </c>
      <c r="BH26" s="130"/>
      <c r="BI26" s="106" t="s">
        <v>63</v>
      </c>
      <c r="BJ26" s="108">
        <v>1.1200000000000001</v>
      </c>
      <c r="BK26" s="108">
        <v>0.52</v>
      </c>
      <c r="BL26" s="108">
        <v>0.72</v>
      </c>
      <c r="BM26" s="108">
        <v>0.42</v>
      </c>
      <c r="BN26" s="108">
        <v>0.82</v>
      </c>
      <c r="BO26" s="108">
        <v>0.72</v>
      </c>
      <c r="BP26" s="108">
        <v>0.32</v>
      </c>
      <c r="BQ26" s="108">
        <v>0.42</v>
      </c>
      <c r="BR26" s="108">
        <v>0.42</v>
      </c>
      <c r="BS26" s="108">
        <v>1.1200000000000001</v>
      </c>
      <c r="BT26" s="108"/>
      <c r="BU26" s="130"/>
      <c r="BV26" s="106" t="s">
        <v>63</v>
      </c>
      <c r="BW26" s="108">
        <v>-2.06</v>
      </c>
      <c r="BX26" s="108">
        <v>-2.06</v>
      </c>
      <c r="BY26" s="108">
        <v>-2.06</v>
      </c>
      <c r="BZ26" s="108">
        <v>-2.06</v>
      </c>
      <c r="CA26" s="108">
        <v>-1.86</v>
      </c>
      <c r="CB26" s="108">
        <v>-1.96</v>
      </c>
      <c r="CC26" s="108">
        <v>-2.06</v>
      </c>
      <c r="CD26" s="108">
        <v>-2.06</v>
      </c>
      <c r="CE26" s="108">
        <v>-2.16</v>
      </c>
      <c r="CF26" s="108">
        <v>-2.04</v>
      </c>
      <c r="CG26" s="116"/>
    </row>
    <row r="27" spans="1:85">
      <c r="A27" s="96"/>
      <c r="B27" s="109"/>
      <c r="D27" s="109"/>
      <c r="E27" s="109"/>
      <c r="U27" s="126" t="s">
        <v>206</v>
      </c>
      <c r="X27" s="75">
        <v>4</v>
      </c>
      <c r="AB27" s="130"/>
      <c r="AC27" s="96"/>
      <c r="AD27" s="96"/>
      <c r="AE27" s="96"/>
      <c r="AF27" s="96"/>
      <c r="AG27" s="96"/>
      <c r="AH27" s="96"/>
      <c r="AI27" s="96"/>
      <c r="AJ27" s="116"/>
      <c r="AT27" s="96"/>
      <c r="AU27" s="131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131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131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132"/>
    </row>
    <row r="28" spans="1:85">
      <c r="A28" s="96" t="s">
        <v>160</v>
      </c>
      <c r="B28" s="109">
        <f>AVERAGE(B8:B17,H8:H17,N8:N17)</f>
        <v>5.8433333333333328</v>
      </c>
      <c r="C28" s="109">
        <f>AVERAGE(C8:C17,I8:I17,O8:O17)</f>
        <v>3.04</v>
      </c>
      <c r="D28" s="109"/>
      <c r="E28" s="109">
        <f>AVERAGE(E8:E17,K8:K17,Q8:Q17)</f>
        <v>3.8633333333333324</v>
      </c>
      <c r="F28" s="109">
        <f>AVERAGE(F8:F17,L8:L17,R8:R17)</f>
        <v>1.2133333333333334</v>
      </c>
      <c r="U28" s="75" t="s">
        <v>207</v>
      </c>
      <c r="X28" s="75">
        <v>3</v>
      </c>
      <c r="AB28" s="130"/>
      <c r="AC28" s="122" t="s">
        <v>255</v>
      </c>
      <c r="AD28" s="96"/>
      <c r="AE28" s="96"/>
      <c r="AF28" s="96"/>
      <c r="AG28" s="96"/>
      <c r="AH28" s="96"/>
      <c r="AI28" s="96"/>
      <c r="AJ28" s="116"/>
      <c r="AU28" s="130"/>
      <c r="BH28" s="130"/>
      <c r="BU28" s="130"/>
      <c r="CG28" s="116"/>
    </row>
    <row r="29" spans="1:85">
      <c r="AB29" s="130"/>
      <c r="AC29" s="96"/>
      <c r="AD29" s="96"/>
      <c r="AE29" s="96"/>
      <c r="AF29" s="96"/>
      <c r="AG29" s="96"/>
      <c r="AH29" s="96"/>
      <c r="AI29" s="96"/>
      <c r="AJ29" s="116"/>
      <c r="AT29" s="86"/>
      <c r="AU29" s="130"/>
      <c r="AV29" s="82" t="s">
        <v>68</v>
      </c>
      <c r="BH29" s="130"/>
      <c r="BI29" s="82" t="s">
        <v>67</v>
      </c>
      <c r="BU29" s="130"/>
      <c r="BV29" s="82" t="s">
        <v>263</v>
      </c>
      <c r="CG29" s="116"/>
    </row>
    <row r="30" spans="1:85">
      <c r="U30" s="75" t="s">
        <v>57</v>
      </c>
      <c r="AB30" s="130"/>
      <c r="AC30" s="122" t="s">
        <v>304</v>
      </c>
      <c r="AD30" s="96">
        <f>((X26-1)-(0.5*(X27+X28)))*(LN(X37/X46))</f>
        <v>4.2815326724583951</v>
      </c>
      <c r="AE30" s="96"/>
      <c r="AF30" s="96"/>
      <c r="AG30" s="96"/>
      <c r="AH30" s="96"/>
      <c r="AI30" s="96"/>
      <c r="AJ30" s="116"/>
      <c r="AT30" s="86"/>
      <c r="AU30" s="134"/>
      <c r="AV30" s="75" t="s">
        <v>452</v>
      </c>
      <c r="BC30" s="81" t="s">
        <v>242</v>
      </c>
      <c r="BE30" s="186" t="s">
        <v>243</v>
      </c>
      <c r="BF30" s="186"/>
      <c r="BH30" s="130"/>
      <c r="BI30" s="75" t="s">
        <v>452</v>
      </c>
      <c r="BP30" s="81" t="s">
        <v>242</v>
      </c>
      <c r="BR30" s="186" t="s">
        <v>243</v>
      </c>
      <c r="BS30" s="186"/>
      <c r="BU30" s="130"/>
      <c r="BV30" s="75" t="s">
        <v>452</v>
      </c>
      <c r="CC30" s="81" t="s">
        <v>242</v>
      </c>
      <c r="CE30" s="186" t="s">
        <v>243</v>
      </c>
      <c r="CF30" s="186"/>
      <c r="CG30" s="116"/>
    </row>
    <row r="31" spans="1:85">
      <c r="A31" s="75" t="s">
        <v>385</v>
      </c>
      <c r="W31" s="81" t="s">
        <v>60</v>
      </c>
      <c r="X31" s="81" t="s">
        <v>61</v>
      </c>
      <c r="Y31" s="81" t="s">
        <v>62</v>
      </c>
      <c r="Z31" s="81" t="s">
        <v>63</v>
      </c>
      <c r="AB31" s="130"/>
      <c r="AC31" s="96"/>
      <c r="AD31" s="96"/>
      <c r="AE31" s="96"/>
      <c r="AF31" s="96"/>
      <c r="AG31" s="96"/>
      <c r="AH31" s="96"/>
      <c r="AI31" s="96"/>
      <c r="AJ31" s="116"/>
      <c r="AP31" s="86"/>
      <c r="AT31" s="86"/>
      <c r="AU31" s="134"/>
      <c r="AW31" s="81" t="s">
        <v>60</v>
      </c>
      <c r="AX31" s="81" t="s">
        <v>61</v>
      </c>
      <c r="AY31" s="81" t="s">
        <v>62</v>
      </c>
      <c r="AZ31" s="81" t="s">
        <v>63</v>
      </c>
      <c r="BC31" s="104" t="s">
        <v>241</v>
      </c>
      <c r="BE31" s="104" t="s">
        <v>82</v>
      </c>
      <c r="BF31" s="104" t="s">
        <v>230</v>
      </c>
      <c r="BH31" s="130"/>
      <c r="BJ31" s="81" t="s">
        <v>60</v>
      </c>
      <c r="BK31" s="81" t="s">
        <v>61</v>
      </c>
      <c r="BL31" s="81" t="s">
        <v>62</v>
      </c>
      <c r="BM31" s="81" t="s">
        <v>63</v>
      </c>
      <c r="BP31" s="104" t="s">
        <v>241</v>
      </c>
      <c r="BR31" s="104" t="s">
        <v>82</v>
      </c>
      <c r="BS31" s="104" t="s">
        <v>230</v>
      </c>
      <c r="BU31" s="130"/>
      <c r="BW31" s="81" t="s">
        <v>60</v>
      </c>
      <c r="BX31" s="81" t="s">
        <v>61</v>
      </c>
      <c r="BY31" s="81" t="s">
        <v>62</v>
      </c>
      <c r="BZ31" s="81" t="s">
        <v>63</v>
      </c>
      <c r="CC31" s="104" t="s">
        <v>241</v>
      </c>
      <c r="CE31" s="104" t="s">
        <v>82</v>
      </c>
      <c r="CF31" s="104" t="s">
        <v>230</v>
      </c>
      <c r="CG31" s="116"/>
    </row>
    <row r="32" spans="1:85" customForma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112"/>
      <c r="U32" s="75"/>
      <c r="V32" s="75" t="s">
        <v>60</v>
      </c>
      <c r="W32" s="133">
        <f>V61</f>
        <v>5.367999999999995</v>
      </c>
      <c r="X32" s="133">
        <f>W33</f>
        <v>0.50299999999999945</v>
      </c>
      <c r="Y32" s="133">
        <f>W34</f>
        <v>4.0479999999999974</v>
      </c>
      <c r="Z32" s="133">
        <f>W35</f>
        <v>0.5199999999999998</v>
      </c>
      <c r="AA32" s="75"/>
      <c r="AB32" s="130"/>
      <c r="AC32" s="96" t="s">
        <v>154</v>
      </c>
      <c r="AD32" s="96">
        <f>X27*(X28-1)</f>
        <v>8</v>
      </c>
      <c r="AE32" s="96"/>
      <c r="AF32" s="96"/>
      <c r="AG32" s="96"/>
      <c r="AH32" s="96"/>
      <c r="AI32" s="96"/>
      <c r="AJ32" s="116"/>
      <c r="AK32" s="75"/>
      <c r="AL32" s="75"/>
      <c r="AO32" s="75"/>
      <c r="AP32" s="75"/>
      <c r="AQ32" s="75"/>
      <c r="AR32" s="75"/>
      <c r="AS32" s="75"/>
      <c r="AT32" s="86"/>
      <c r="AU32" s="134"/>
      <c r="AV32" s="75">
        <v>1</v>
      </c>
      <c r="AW32" s="108">
        <f t="shared" ref="AW32:AW41" si="31">H8-$B$23</f>
        <v>2.1400000000000006</v>
      </c>
      <c r="AX32" s="108">
        <f t="shared" ref="AX32:AX41" si="32">I8-$C$23</f>
        <v>-0.10999999999999943</v>
      </c>
      <c r="AY32" s="108">
        <f t="shared" ref="AY32:AY41" si="33">K8-$E$23</f>
        <v>3.25</v>
      </c>
      <c r="AZ32" s="108">
        <f t="shared" ref="AZ32:AZ41" si="34">L8-$F$23</f>
        <v>1.18</v>
      </c>
      <c r="BA32" s="75"/>
      <c r="BB32" s="75"/>
      <c r="BC32" s="87">
        <f t="shared" ref="BC32:BC41" si="35">SQRT((AW32^2)+(AX32^2)+(AY32^2)+(AZ32^2))</f>
        <v>4.0677512214981881</v>
      </c>
      <c r="BD32" s="87"/>
      <c r="BE32" s="87">
        <f>MMULT(MMULT(AW32:AZ32,AP15:AS18),AW45:AW48)</f>
        <v>156.31927312559617</v>
      </c>
      <c r="BF32" s="87">
        <f>SQRT(BE32)</f>
        <v>12.502770617970889</v>
      </c>
      <c r="BG32" s="75"/>
      <c r="BH32" s="130"/>
      <c r="BI32" s="75">
        <v>1</v>
      </c>
      <c r="BJ32" s="108">
        <f t="shared" ref="BJ32:BJ41" si="36">H8-$H$23</f>
        <v>0.90000000000000036</v>
      </c>
      <c r="BK32" s="108">
        <f t="shared" ref="BK32:BK41" si="37">I8-$I$23</f>
        <v>0.33000000000000007</v>
      </c>
      <c r="BL32" s="108">
        <f t="shared" ref="BL32:BL41" si="38">K8-$K$23</f>
        <v>0.33000000000000007</v>
      </c>
      <c r="BM32" s="108">
        <f t="shared" ref="BM32:BM41" si="39">L8-$L$23</f>
        <v>1.9999999999999796E-2</v>
      </c>
      <c r="BN32" s="75"/>
      <c r="BO32" s="75"/>
      <c r="BP32" s="108">
        <f t="shared" ref="BP32:BP41" si="40">SQRT((BJ32^2)+(BK32^2)+(BL32^2)+(BM32^2))</f>
        <v>1.0140019723846698</v>
      </c>
      <c r="BQ32" s="108"/>
      <c r="BR32" s="108">
        <f>MMULT(MMULT(BJ32:BM32,AP15:AS18),BJ45:BJ48)</f>
        <v>3.8754911565595416</v>
      </c>
      <c r="BS32" s="108">
        <f>SQRT(BR32)</f>
        <v>1.9686267184409394</v>
      </c>
      <c r="BT32" s="75"/>
      <c r="BU32" s="130"/>
      <c r="BV32" s="75">
        <v>1</v>
      </c>
      <c r="BW32" s="108">
        <f t="shared" ref="BW32:BW41" si="41">H8-$N$23</f>
        <v>0.42999999999999972</v>
      </c>
      <c r="BX32" s="108">
        <f t="shared" ref="BX32:BX41" si="42">I8-$O$23</f>
        <v>0.26000000000000023</v>
      </c>
      <c r="BY32" s="108">
        <f t="shared" ref="BY32:BY41" si="43">K8-$Q$23</f>
        <v>-1.0699999999999994</v>
      </c>
      <c r="BZ32" s="108">
        <f t="shared" ref="BZ32:BZ41" si="44">L8-$R$23</f>
        <v>-0.64000000000000012</v>
      </c>
      <c r="CA32" s="75"/>
      <c r="CB32" s="75"/>
      <c r="CC32" s="86">
        <f t="shared" ref="CC32:CC41" si="45">SQRT((BW32^2)+(BX32^2)+(BY32^2)+(BZ32^2))</f>
        <v>1.3442470011125183</v>
      </c>
      <c r="CD32" s="75"/>
      <c r="CE32" s="86">
        <f>MMULT(MMULT(BW32:BZ32,AP15:AS18),BW45:BW48)</f>
        <v>61.293509801952979</v>
      </c>
      <c r="CF32" s="108">
        <f>SQRT(CE32)</f>
        <v>7.8290171670493214</v>
      </c>
      <c r="CG32" s="116"/>
    </row>
    <row r="33" spans="1:85">
      <c r="B33" s="75" t="s">
        <v>220</v>
      </c>
      <c r="I33" s="75" t="s">
        <v>211</v>
      </c>
      <c r="T33" s="136"/>
      <c r="V33" s="75" t="s">
        <v>61</v>
      </c>
      <c r="W33" s="133">
        <f>Z61</f>
        <v>0.50299999999999945</v>
      </c>
      <c r="X33" s="133">
        <f>V75</f>
        <v>0.99466666666666681</v>
      </c>
      <c r="Y33" s="133">
        <f>X34</f>
        <v>0.49299999999999966</v>
      </c>
      <c r="Z33" s="133">
        <f>X35</f>
        <v>0.32666666666666655</v>
      </c>
      <c r="AB33" s="130"/>
      <c r="AC33" s="96"/>
      <c r="AD33" s="96"/>
      <c r="AE33" s="96"/>
      <c r="AF33" s="96"/>
      <c r="AG33" s="96"/>
      <c r="AH33" s="96"/>
      <c r="AI33" s="96"/>
      <c r="AJ33" s="116"/>
      <c r="AU33" s="134"/>
      <c r="AV33" s="75">
        <v>2</v>
      </c>
      <c r="AW33" s="108">
        <f t="shared" si="31"/>
        <v>1.5400000000000009</v>
      </c>
      <c r="AX33" s="108">
        <f t="shared" si="32"/>
        <v>-0.10999999999999943</v>
      </c>
      <c r="AY33" s="108">
        <f t="shared" si="33"/>
        <v>3.05</v>
      </c>
      <c r="AZ33" s="108">
        <f t="shared" si="34"/>
        <v>1.28</v>
      </c>
      <c r="BC33" s="87">
        <f t="shared" si="35"/>
        <v>3.6502876598975047</v>
      </c>
      <c r="BD33" s="87"/>
      <c r="BE33" s="87">
        <f>MMULT(MMULT(AW33:AZ33,AP15:AS18),AX45:AX48)</f>
        <v>170.64028328032128</v>
      </c>
      <c r="BF33" s="87">
        <f t="shared" ref="BF33:BF41" si="46">SQRT(BE33)</f>
        <v>13.062935477155252</v>
      </c>
      <c r="BH33" s="130"/>
      <c r="BI33" s="75">
        <v>2</v>
      </c>
      <c r="BJ33" s="108">
        <f t="shared" si="36"/>
        <v>0.30000000000000071</v>
      </c>
      <c r="BK33" s="108">
        <f t="shared" si="37"/>
        <v>0.33000000000000007</v>
      </c>
      <c r="BL33" s="108">
        <f t="shared" si="38"/>
        <v>0.12999999999999989</v>
      </c>
      <c r="BM33" s="108">
        <f t="shared" si="39"/>
        <v>0.11999999999999988</v>
      </c>
      <c r="BP33" s="108">
        <f t="shared" si="40"/>
        <v>0.47979162143580667</v>
      </c>
      <c r="BQ33" s="108"/>
      <c r="BR33" s="108">
        <f>MMULT(MMULT(BJ33:BM33,AP15:AS18),BK45:BK48)</f>
        <v>1.2209834681741216</v>
      </c>
      <c r="BS33" s="108">
        <f t="shared" ref="BS33:BS41" si="47">SQRT(BR33)</f>
        <v>1.1049812071588012</v>
      </c>
      <c r="BU33" s="130"/>
      <c r="BV33" s="75">
        <v>2</v>
      </c>
      <c r="BW33" s="108">
        <f t="shared" si="41"/>
        <v>-0.16999999999999993</v>
      </c>
      <c r="BX33" s="108">
        <f t="shared" si="42"/>
        <v>0.26000000000000023</v>
      </c>
      <c r="BY33" s="108">
        <f t="shared" si="43"/>
        <v>-1.2699999999999996</v>
      </c>
      <c r="BZ33" s="108">
        <f t="shared" si="44"/>
        <v>-0.54</v>
      </c>
      <c r="CC33" s="86">
        <f t="shared" si="45"/>
        <v>1.4145670715805592</v>
      </c>
      <c r="CE33" s="86">
        <f>MMULT(MMULT(BW33:BZ33,AP15:AS18),BX45:BX48)</f>
        <v>47.835760090315659</v>
      </c>
      <c r="CF33" s="108">
        <f t="shared" ref="CF33:CF41" si="48">SQRT(CE33)</f>
        <v>6.9163400791398093</v>
      </c>
      <c r="CG33" s="116"/>
    </row>
    <row r="34" spans="1:85">
      <c r="C34" s="75" t="s">
        <v>60</v>
      </c>
      <c r="D34" s="75" t="s">
        <v>61</v>
      </c>
      <c r="E34" s="75" t="s">
        <v>62</v>
      </c>
      <c r="F34" s="75" t="s">
        <v>63</v>
      </c>
      <c r="I34" s="75" t="s">
        <v>60</v>
      </c>
      <c r="J34" s="75">
        <v>-1.24</v>
      </c>
      <c r="K34" s="75">
        <v>-1.71</v>
      </c>
      <c r="L34" s="75">
        <v>-0.47000000000000064</v>
      </c>
      <c r="T34" s="112"/>
      <c r="V34" s="75" t="s">
        <v>62</v>
      </c>
      <c r="W34" s="133">
        <f>AD61</f>
        <v>4.0479999999999974</v>
      </c>
      <c r="X34" s="133">
        <f>Z75</f>
        <v>0.49299999999999966</v>
      </c>
      <c r="Y34" s="133">
        <f>V89</f>
        <v>3.7129999999999996</v>
      </c>
      <c r="Z34" s="133">
        <f>Y35</f>
        <v>0.54999999999999993</v>
      </c>
      <c r="AB34" s="130"/>
      <c r="AC34" s="122" t="s">
        <v>305</v>
      </c>
      <c r="AD34" s="96">
        <f>CHIDIST(AD30,AD32)</f>
        <v>0.83087129477096655</v>
      </c>
      <c r="AE34" s="96"/>
      <c r="AF34" s="96"/>
      <c r="AG34" s="96"/>
      <c r="AH34" s="96"/>
      <c r="AI34" s="96"/>
      <c r="AJ34" s="116"/>
      <c r="AT34" s="96"/>
      <c r="AU34" s="130"/>
      <c r="AV34" s="75">
        <v>3</v>
      </c>
      <c r="AW34" s="108">
        <f t="shared" si="31"/>
        <v>2.0400000000000009</v>
      </c>
      <c r="AX34" s="108">
        <f t="shared" si="32"/>
        <v>-0.20999999999999952</v>
      </c>
      <c r="AY34" s="108">
        <f t="shared" si="33"/>
        <v>3.45</v>
      </c>
      <c r="AZ34" s="108">
        <f t="shared" si="34"/>
        <v>1.28</v>
      </c>
      <c r="BC34" s="87">
        <f t="shared" si="35"/>
        <v>4.2126713614997318</v>
      </c>
      <c r="BD34" s="87"/>
      <c r="BE34" s="87">
        <f>MMULT(MMULT(AW34:AZ34,AP15:AS18),AY45:AY48)</f>
        <v>194.68457480800072</v>
      </c>
      <c r="BF34" s="87">
        <f t="shared" si="46"/>
        <v>13.952941439280849</v>
      </c>
      <c r="BH34" s="130"/>
      <c r="BI34" s="75">
        <v>3</v>
      </c>
      <c r="BJ34" s="108">
        <f t="shared" si="36"/>
        <v>0.80000000000000071</v>
      </c>
      <c r="BK34" s="108">
        <f t="shared" si="37"/>
        <v>0.22999999999999998</v>
      </c>
      <c r="BL34" s="108">
        <f t="shared" si="38"/>
        <v>0.53000000000000025</v>
      </c>
      <c r="BM34" s="108">
        <f t="shared" si="39"/>
        <v>0.11999999999999988</v>
      </c>
      <c r="BP34" s="108">
        <f t="shared" si="40"/>
        <v>0.99408249154685413</v>
      </c>
      <c r="BQ34" s="108"/>
      <c r="BR34" s="108">
        <f>MMULT(MMULT(BJ34:BM34,AP15:AS18),BL45:BL48)</f>
        <v>1.5600711339297086</v>
      </c>
      <c r="BS34" s="108">
        <f t="shared" si="47"/>
        <v>1.2490280757171588</v>
      </c>
      <c r="BU34" s="130"/>
      <c r="BV34" s="75">
        <v>3</v>
      </c>
      <c r="BW34" s="108">
        <f t="shared" si="41"/>
        <v>0.33000000000000007</v>
      </c>
      <c r="BX34" s="108">
        <f t="shared" si="42"/>
        <v>0.16000000000000014</v>
      </c>
      <c r="BY34" s="108">
        <f t="shared" si="43"/>
        <v>-0.86999999999999922</v>
      </c>
      <c r="BZ34" s="108">
        <f t="shared" si="44"/>
        <v>-0.54</v>
      </c>
      <c r="CC34" s="86">
        <f t="shared" si="45"/>
        <v>1.0876580344942977</v>
      </c>
      <c r="CE34" s="86">
        <f>MMULT(MMULT(BW34:BZ34,AP15:AS18),BY45:BY48)</f>
        <v>39.439958976601652</v>
      </c>
      <c r="CF34" s="108">
        <f t="shared" si="48"/>
        <v>6.2801241211142997</v>
      </c>
      <c r="CG34" s="116"/>
    </row>
    <row r="35" spans="1:85">
      <c r="A35" s="75" t="s">
        <v>212</v>
      </c>
      <c r="C35" s="87">
        <f>B23-H23</f>
        <v>-1.2400000000000002</v>
      </c>
      <c r="D35" s="87">
        <f>-C23-I23</f>
        <v>-6.18</v>
      </c>
      <c r="E35" s="87">
        <f>E23-K23</f>
        <v>-2.92</v>
      </c>
      <c r="F35" s="87">
        <f>F23-L23</f>
        <v>-1.1600000000000001</v>
      </c>
      <c r="I35" s="75" t="s">
        <v>61</v>
      </c>
      <c r="J35" s="75">
        <v>-6.18</v>
      </c>
      <c r="K35" s="75">
        <v>0.37</v>
      </c>
      <c r="L35" s="75">
        <v>-6.999999999999984E-2</v>
      </c>
      <c r="T35" s="81"/>
      <c r="V35" s="75" t="s">
        <v>63</v>
      </c>
      <c r="W35" s="133">
        <f>AH61</f>
        <v>0.5199999999999998</v>
      </c>
      <c r="X35" s="133">
        <f>AD75</f>
        <v>0.32666666666666655</v>
      </c>
      <c r="Y35" s="133">
        <f>Z89</f>
        <v>0.54999999999999993</v>
      </c>
      <c r="Z35" s="133">
        <f>V103</f>
        <v>0.56666666666666665</v>
      </c>
      <c r="AB35" s="130"/>
      <c r="AC35" s="96"/>
      <c r="AD35" s="96" t="s">
        <v>254</v>
      </c>
      <c r="AE35" s="96"/>
      <c r="AF35" s="96"/>
      <c r="AG35" s="96"/>
      <c r="AH35" s="96"/>
      <c r="AI35" s="96"/>
      <c r="AJ35" s="116"/>
      <c r="AU35" s="130"/>
      <c r="AV35" s="75">
        <v>4</v>
      </c>
      <c r="AW35" s="108">
        <f t="shared" si="31"/>
        <v>0.64000000000000057</v>
      </c>
      <c r="AX35" s="108">
        <f t="shared" si="32"/>
        <v>-1.0099999999999998</v>
      </c>
      <c r="AY35" s="108">
        <f t="shared" si="33"/>
        <v>2.5499999999999998</v>
      </c>
      <c r="AZ35" s="108">
        <f t="shared" si="34"/>
        <v>1.08</v>
      </c>
      <c r="BC35" s="87">
        <f t="shared" si="35"/>
        <v>3.0163885691336252</v>
      </c>
      <c r="BD35" s="87"/>
      <c r="BE35" s="87">
        <f>MMULT(MMULT(AW35:AZ35,AP15:AS18),AZ45:AZ48)</f>
        <v>214.26968958741963</v>
      </c>
      <c r="BF35" s="87">
        <f t="shared" si="46"/>
        <v>14.637953736346471</v>
      </c>
      <c r="BH35" s="130"/>
      <c r="BI35" s="75">
        <v>4</v>
      </c>
      <c r="BJ35" s="108">
        <f t="shared" si="36"/>
        <v>-0.59999999999999964</v>
      </c>
      <c r="BK35" s="108">
        <f t="shared" si="37"/>
        <v>-0.57000000000000028</v>
      </c>
      <c r="BL35" s="108">
        <f t="shared" si="38"/>
        <v>-0.37000000000000011</v>
      </c>
      <c r="BM35" s="108">
        <f t="shared" si="39"/>
        <v>-8.0000000000000071E-2</v>
      </c>
      <c r="BP35" s="108">
        <f t="shared" si="40"/>
        <v>0.91005494339627635</v>
      </c>
      <c r="BQ35" s="108"/>
      <c r="BR35" s="108">
        <f>MMULT(MMULT(BJ35:BM35,AP15:AS18),BM45:BM48)</f>
        <v>5.2859118617093745</v>
      </c>
      <c r="BS35" s="108">
        <f t="shared" si="47"/>
        <v>2.2991111025153557</v>
      </c>
      <c r="BU35" s="130"/>
      <c r="BV35" s="75">
        <v>4</v>
      </c>
      <c r="BW35" s="108">
        <f t="shared" si="41"/>
        <v>-1.0700000000000003</v>
      </c>
      <c r="BX35" s="108">
        <f t="shared" si="42"/>
        <v>-0.64000000000000012</v>
      </c>
      <c r="BY35" s="108">
        <f t="shared" si="43"/>
        <v>-1.7699999999999996</v>
      </c>
      <c r="BZ35" s="108">
        <f t="shared" si="44"/>
        <v>-0.74</v>
      </c>
      <c r="CC35" s="86">
        <f t="shared" si="45"/>
        <v>2.28801223772951</v>
      </c>
      <c r="CE35" s="86">
        <f>MMULT(MMULT(BW35:BZ35,AP15:AS18),BZ45:BZ48)</f>
        <v>39.43358883282302</v>
      </c>
      <c r="CF35" s="108">
        <f t="shared" si="48"/>
        <v>6.2796169336053467</v>
      </c>
      <c r="CG35" s="116"/>
    </row>
    <row r="36" spans="1:85">
      <c r="A36" s="75" t="s">
        <v>217</v>
      </c>
      <c r="C36" s="87">
        <f>B23-N23</f>
        <v>-1.7100000000000009</v>
      </c>
      <c r="D36" s="87">
        <f>C23-O23</f>
        <v>0.36999999999999966</v>
      </c>
      <c r="E36" s="87">
        <f>E23-Q23</f>
        <v>-4.3199999999999994</v>
      </c>
      <c r="F36" s="87">
        <f>F23-R23</f>
        <v>-1.82</v>
      </c>
      <c r="I36" s="75" t="s">
        <v>62</v>
      </c>
      <c r="J36" s="75">
        <v>-2.92</v>
      </c>
      <c r="K36" s="75">
        <v>-4.32</v>
      </c>
      <c r="L36" s="75">
        <v>-1.4</v>
      </c>
      <c r="V36" s="133"/>
      <c r="W36" s="133"/>
      <c r="X36" s="133"/>
      <c r="Y36" s="133"/>
      <c r="AB36" s="131"/>
      <c r="AC36" s="85"/>
      <c r="AD36" s="85"/>
      <c r="AE36" s="85"/>
      <c r="AF36" s="85"/>
      <c r="AG36" s="85"/>
      <c r="AH36" s="85"/>
      <c r="AI36" s="85"/>
      <c r="AJ36" s="132"/>
      <c r="AT36" s="108"/>
      <c r="AU36" s="130"/>
      <c r="AV36" s="75">
        <v>5</v>
      </c>
      <c r="AW36" s="108">
        <f t="shared" si="31"/>
        <v>1.6400000000000006</v>
      </c>
      <c r="AX36" s="108">
        <f t="shared" si="32"/>
        <v>-0.50999999999999979</v>
      </c>
      <c r="AY36" s="108">
        <f t="shared" si="33"/>
        <v>3.1499999999999995</v>
      </c>
      <c r="AZ36" s="108">
        <f t="shared" si="34"/>
        <v>1.28</v>
      </c>
      <c r="BC36" s="87">
        <f t="shared" si="35"/>
        <v>3.8092781468409469</v>
      </c>
      <c r="BD36" s="87"/>
      <c r="BE36" s="87">
        <f>MMULT(MMULT(AW36:AZ36,AP15:AS18),BA45:BA48)</f>
        <v>206.60842966862799</v>
      </c>
      <c r="BF36" s="87">
        <f t="shared" si="46"/>
        <v>14.373880118765008</v>
      </c>
      <c r="BH36" s="130"/>
      <c r="BI36" s="75">
        <v>5</v>
      </c>
      <c r="BJ36" s="108">
        <f t="shared" si="36"/>
        <v>0.40000000000000036</v>
      </c>
      <c r="BK36" s="108">
        <f t="shared" si="37"/>
        <v>-7.0000000000000284E-2</v>
      </c>
      <c r="BL36" s="108">
        <f t="shared" si="38"/>
        <v>0.22999999999999954</v>
      </c>
      <c r="BM36" s="108">
        <f t="shared" si="39"/>
        <v>0.11999999999999988</v>
      </c>
      <c r="BP36" s="108">
        <f t="shared" si="40"/>
        <v>0.48187135212627041</v>
      </c>
      <c r="BQ36" s="108"/>
      <c r="BR36" s="108">
        <f>MMULT(MMULT(BJ36:BM36,AP15:AS18),BN45:BN48)</f>
        <v>3.0165687004813577</v>
      </c>
      <c r="BS36" s="108">
        <f t="shared" si="47"/>
        <v>1.7368271936152306</v>
      </c>
      <c r="BU36" s="130"/>
      <c r="BV36" s="75">
        <v>5</v>
      </c>
      <c r="BW36" s="108">
        <f t="shared" si="41"/>
        <v>-7.0000000000000284E-2</v>
      </c>
      <c r="BX36" s="108">
        <f t="shared" si="42"/>
        <v>-0.14000000000000012</v>
      </c>
      <c r="BY36" s="108">
        <f t="shared" si="43"/>
        <v>-1.17</v>
      </c>
      <c r="BZ36" s="108">
        <f t="shared" si="44"/>
        <v>-0.54</v>
      </c>
      <c r="CC36" s="86">
        <f t="shared" si="45"/>
        <v>1.2980754985747169</v>
      </c>
      <c r="CE36" s="86">
        <f>MMULT(MMULT(BW36:BZ36,AP15:AS18),CA45:CA48)</f>
        <v>38.682997451138952</v>
      </c>
      <c r="CF36" s="108">
        <f t="shared" si="48"/>
        <v>6.2195656963439943</v>
      </c>
      <c r="CG36" s="116"/>
    </row>
    <row r="37" spans="1:85">
      <c r="A37" s="75" t="s">
        <v>213</v>
      </c>
      <c r="C37" s="87">
        <f>H23-N23</f>
        <v>-0.47000000000000064</v>
      </c>
      <c r="D37" s="87">
        <f>I23-O23</f>
        <v>-6.999999999999984E-2</v>
      </c>
      <c r="E37" s="87">
        <f>K23-Q23</f>
        <v>-1.3999999999999995</v>
      </c>
      <c r="F37" s="87">
        <f>L23-R23</f>
        <v>-0.65999999999999992</v>
      </c>
      <c r="I37" s="75" t="s">
        <v>63</v>
      </c>
      <c r="J37" s="75">
        <v>-1.1599999999999999</v>
      </c>
      <c r="K37" s="75">
        <v>-1.82</v>
      </c>
      <c r="L37" s="75">
        <v>-0.66</v>
      </c>
      <c r="T37" s="105"/>
      <c r="U37" s="75" t="s">
        <v>302</v>
      </c>
      <c r="X37" s="96">
        <f>MDETERM(W32:Z35)</f>
        <v>1.351382711000001</v>
      </c>
      <c r="Y37" s="96"/>
      <c r="AT37" s="108"/>
      <c r="AU37" s="135"/>
      <c r="AV37" s="75">
        <v>6</v>
      </c>
      <c r="AW37" s="108">
        <f t="shared" si="31"/>
        <v>0.84000000000000075</v>
      </c>
      <c r="AX37" s="108">
        <f t="shared" si="32"/>
        <v>-0.50999999999999979</v>
      </c>
      <c r="AY37" s="108">
        <f t="shared" si="33"/>
        <v>3.05</v>
      </c>
      <c r="AZ37" s="108">
        <f t="shared" si="34"/>
        <v>1.08</v>
      </c>
      <c r="BC37" s="87">
        <f t="shared" si="35"/>
        <v>3.3815085390990807</v>
      </c>
      <c r="BD37" s="87"/>
      <c r="BE37" s="87">
        <f>MMULT(MMULT(AW37:AZ37,AP15:AS18),BB45:BB48)</f>
        <v>221.10491786677602</v>
      </c>
      <c r="BF37" s="87">
        <f t="shared" si="46"/>
        <v>14.869597098333768</v>
      </c>
      <c r="BH37" s="130"/>
      <c r="BI37" s="75">
        <v>6</v>
      </c>
      <c r="BJ37" s="108">
        <f t="shared" si="36"/>
        <v>-0.39999999999999947</v>
      </c>
      <c r="BK37" s="108">
        <f t="shared" si="37"/>
        <v>-7.0000000000000284E-2</v>
      </c>
      <c r="BL37" s="108">
        <f t="shared" si="38"/>
        <v>0.12999999999999989</v>
      </c>
      <c r="BM37" s="108">
        <f t="shared" si="39"/>
        <v>-8.0000000000000071E-2</v>
      </c>
      <c r="BP37" s="108">
        <f t="shared" si="40"/>
        <v>0.43382023926967678</v>
      </c>
      <c r="BQ37" s="108"/>
      <c r="BR37" s="108">
        <f>MMULT(MMULT(BJ37:BM37,AP15:AS18),BO45:BO48)</f>
        <v>7.7301362220881211</v>
      </c>
      <c r="BS37" s="108">
        <f t="shared" si="47"/>
        <v>2.7803122526234567</v>
      </c>
      <c r="BU37" s="130"/>
      <c r="BV37" s="75">
        <v>6</v>
      </c>
      <c r="BW37" s="108">
        <f t="shared" si="41"/>
        <v>-0.87000000000000011</v>
      </c>
      <c r="BX37" s="108">
        <f t="shared" si="42"/>
        <v>-0.14000000000000012</v>
      </c>
      <c r="BY37" s="108">
        <f t="shared" si="43"/>
        <v>-1.2699999999999996</v>
      </c>
      <c r="BZ37" s="108">
        <f t="shared" si="44"/>
        <v>-0.74</v>
      </c>
      <c r="CC37" s="86">
        <f t="shared" si="45"/>
        <v>1.7137677789012138</v>
      </c>
      <c r="CE37" s="86">
        <f>MMULT(MMULT(BW37:BZ37,AP15:AS18),CB45:CB48)</f>
        <v>31.342286128009416</v>
      </c>
      <c r="CF37" s="108">
        <f t="shared" si="48"/>
        <v>5.5984181808801505</v>
      </c>
      <c r="CG37" s="116"/>
    </row>
    <row r="38" spans="1:85">
      <c r="T38" s="105"/>
      <c r="AT38" s="108"/>
      <c r="AU38" s="135"/>
      <c r="AV38" s="75">
        <v>7</v>
      </c>
      <c r="AW38" s="108">
        <f t="shared" si="31"/>
        <v>1.4400000000000004</v>
      </c>
      <c r="AX38" s="108">
        <f t="shared" si="32"/>
        <v>-9.9999999999997868E-3</v>
      </c>
      <c r="AY38" s="108">
        <f t="shared" si="33"/>
        <v>3.25</v>
      </c>
      <c r="AZ38" s="108">
        <f t="shared" si="34"/>
        <v>1.3800000000000001</v>
      </c>
      <c r="BC38" s="87">
        <f t="shared" si="35"/>
        <v>3.8132138675925331</v>
      </c>
      <c r="BD38" s="87"/>
      <c r="BE38" s="87">
        <f>MMULT(MMULT(AW38:AZ38,AP15:AS18),BC45:BC48)</f>
        <v>199.01826481614847</v>
      </c>
      <c r="BF38" s="87">
        <f t="shared" si="46"/>
        <v>14.107383344055993</v>
      </c>
      <c r="BH38" s="130"/>
      <c r="BI38" s="75">
        <v>7</v>
      </c>
      <c r="BJ38" s="108">
        <f t="shared" si="36"/>
        <v>0.20000000000000018</v>
      </c>
      <c r="BK38" s="108">
        <f t="shared" si="37"/>
        <v>0.42999999999999972</v>
      </c>
      <c r="BL38" s="108">
        <f t="shared" si="38"/>
        <v>0.33000000000000007</v>
      </c>
      <c r="BM38" s="108">
        <f t="shared" si="39"/>
        <v>0.21999999999999997</v>
      </c>
      <c r="BP38" s="108">
        <f t="shared" si="40"/>
        <v>0.61822326064294919</v>
      </c>
      <c r="BQ38" s="108"/>
      <c r="BR38" s="108">
        <f>MMULT(MMULT(BJ38:BM38,AP15:AS18),BP45:BP48)</f>
        <v>3.359012560316665</v>
      </c>
      <c r="BS38" s="108">
        <f t="shared" si="47"/>
        <v>1.8327609119349597</v>
      </c>
      <c r="BU38" s="130"/>
      <c r="BV38" s="75">
        <v>7</v>
      </c>
      <c r="BW38" s="108">
        <f t="shared" si="41"/>
        <v>-0.27000000000000046</v>
      </c>
      <c r="BX38" s="108">
        <f t="shared" si="42"/>
        <v>0.35999999999999988</v>
      </c>
      <c r="BY38" s="108">
        <f t="shared" si="43"/>
        <v>-1.0699999999999994</v>
      </c>
      <c r="BZ38" s="108">
        <f t="shared" si="44"/>
        <v>-0.43999999999999995</v>
      </c>
      <c r="CC38" s="86">
        <f t="shared" si="45"/>
        <v>1.2413702106946174</v>
      </c>
      <c r="CE38" s="86">
        <f>MMULT(MMULT(BW38:BZ38,AP15:AS18),CC45:CC48)</f>
        <v>34.703707534354592</v>
      </c>
      <c r="CF38" s="108">
        <f t="shared" si="48"/>
        <v>5.89098527704446</v>
      </c>
      <c r="CG38" s="116"/>
    </row>
    <row r="39" spans="1:85">
      <c r="T39" s="105"/>
      <c r="U39" s="75" t="s">
        <v>208</v>
      </c>
      <c r="AC39" s="75" t="s">
        <v>81</v>
      </c>
      <c r="AT39" s="108"/>
      <c r="AU39" s="135"/>
      <c r="AV39" s="75">
        <v>8</v>
      </c>
      <c r="AW39" s="108">
        <f t="shared" si="31"/>
        <v>4.0000000000000924E-2</v>
      </c>
      <c r="AX39" s="108">
        <f t="shared" si="32"/>
        <v>-0.9099999999999997</v>
      </c>
      <c r="AY39" s="108">
        <f t="shared" si="33"/>
        <v>1.8499999999999999</v>
      </c>
      <c r="AZ39" s="108">
        <f t="shared" si="34"/>
        <v>0.78</v>
      </c>
      <c r="BC39" s="87">
        <f t="shared" si="35"/>
        <v>2.2046768470685221</v>
      </c>
      <c r="BD39" s="87"/>
      <c r="BE39" s="87">
        <f>MMULT(MMULT(AW39:AZ39,AP15:AS18),BD45:BD48)</f>
        <v>140.12565675248678</v>
      </c>
      <c r="BF39" s="87">
        <f t="shared" si="46"/>
        <v>11.837468342195757</v>
      </c>
      <c r="BH39" s="130"/>
      <c r="BI39" s="75">
        <v>8</v>
      </c>
      <c r="BJ39" s="108">
        <f t="shared" si="36"/>
        <v>-1.1999999999999993</v>
      </c>
      <c r="BK39" s="108">
        <f t="shared" si="37"/>
        <v>-0.4700000000000002</v>
      </c>
      <c r="BL39" s="108">
        <f t="shared" si="38"/>
        <v>-1.0700000000000003</v>
      </c>
      <c r="BM39" s="108">
        <f t="shared" si="39"/>
        <v>-0.38000000000000012</v>
      </c>
      <c r="BP39" s="108">
        <f t="shared" si="40"/>
        <v>1.7176146249959563</v>
      </c>
      <c r="BQ39" s="108"/>
      <c r="BR39" s="108">
        <f>MMULT(MMULT(BJ39:BM39,AP15:AS18),BQ45:BQ48)</f>
        <v>6.6001270982233091</v>
      </c>
      <c r="BS39" s="108">
        <f t="shared" si="47"/>
        <v>2.5690712520721002</v>
      </c>
      <c r="BU39" s="130"/>
      <c r="BV39" s="75">
        <v>8</v>
      </c>
      <c r="BW39" s="108">
        <f t="shared" si="41"/>
        <v>-1.67</v>
      </c>
      <c r="BX39" s="108">
        <f t="shared" si="42"/>
        <v>-0.54</v>
      </c>
      <c r="BY39" s="108">
        <f t="shared" si="43"/>
        <v>-2.4699999999999998</v>
      </c>
      <c r="BZ39" s="108">
        <f t="shared" si="44"/>
        <v>-1.04</v>
      </c>
      <c r="CC39" s="86">
        <f t="shared" si="45"/>
        <v>3.2035917342882501</v>
      </c>
      <c r="CE39" s="86">
        <f>MMULT(MMULT(BW39:BZ39,AP15:AS18),CD45:CD48)</f>
        <v>73.121324510475162</v>
      </c>
      <c r="CF39" s="108">
        <f t="shared" si="48"/>
        <v>8.5511007777054733</v>
      </c>
      <c r="CG39" s="116"/>
    </row>
    <row r="40" spans="1:85">
      <c r="B40" s="75" t="s">
        <v>256</v>
      </c>
      <c r="T40" s="105"/>
      <c r="W40" s="81" t="s">
        <v>60</v>
      </c>
      <c r="X40" s="81" t="s">
        <v>61</v>
      </c>
      <c r="Y40" s="81" t="s">
        <v>62</v>
      </c>
      <c r="Z40" s="81" t="s">
        <v>63</v>
      </c>
      <c r="AE40" s="81" t="s">
        <v>60</v>
      </c>
      <c r="AF40" s="81" t="s">
        <v>61</v>
      </c>
      <c r="AG40" s="81" t="s">
        <v>62</v>
      </c>
      <c r="AH40" s="81" t="s">
        <v>63</v>
      </c>
      <c r="AU40" s="135"/>
      <c r="AV40" s="75">
        <v>9</v>
      </c>
      <c r="AW40" s="108">
        <f t="shared" si="31"/>
        <v>1.7400000000000002</v>
      </c>
      <c r="AX40" s="108">
        <f t="shared" si="32"/>
        <v>-0.4099999999999997</v>
      </c>
      <c r="AY40" s="108">
        <f t="shared" si="33"/>
        <v>3.1499999999999995</v>
      </c>
      <c r="AZ40" s="108">
        <f t="shared" si="34"/>
        <v>1.08</v>
      </c>
      <c r="BC40" s="87">
        <f t="shared" si="35"/>
        <v>3.7794973210732663</v>
      </c>
      <c r="BD40" s="87"/>
      <c r="BE40" s="87">
        <f>MMULT(MMULT(AW40:AZ40,AP15:AS18),BE45:BE48)</f>
        <v>175.33374990467718</v>
      </c>
      <c r="BF40" s="87">
        <f t="shared" si="46"/>
        <v>13.241365107294534</v>
      </c>
      <c r="BH40" s="130"/>
      <c r="BI40" s="75">
        <v>9</v>
      </c>
      <c r="BJ40" s="108">
        <f t="shared" si="36"/>
        <v>0.5</v>
      </c>
      <c r="BK40" s="108">
        <f t="shared" si="37"/>
        <v>2.9999999999999805E-2</v>
      </c>
      <c r="BL40" s="108">
        <f t="shared" si="38"/>
        <v>0.22999999999999954</v>
      </c>
      <c r="BM40" s="108">
        <f t="shared" si="39"/>
        <v>-8.0000000000000071E-2</v>
      </c>
      <c r="BP40" s="108">
        <f t="shared" si="40"/>
        <v>0.55695601262577266</v>
      </c>
      <c r="BQ40" s="108"/>
      <c r="BR40" s="108">
        <f>MMULT(MMULT(BJ40:BM40,AP15:AS18),BR45:BR48)</f>
        <v>1.3225006729705522</v>
      </c>
      <c r="BS40" s="108">
        <f t="shared" si="47"/>
        <v>1.150000292595855</v>
      </c>
      <c r="BU40" s="130"/>
      <c r="BV40" s="75">
        <v>9</v>
      </c>
      <c r="BW40" s="108">
        <f t="shared" si="41"/>
        <v>2.9999999999999361E-2</v>
      </c>
      <c r="BX40" s="108">
        <f t="shared" si="42"/>
        <v>-4.0000000000000036E-2</v>
      </c>
      <c r="BY40" s="108">
        <f t="shared" si="43"/>
        <v>-1.17</v>
      </c>
      <c r="BZ40" s="108">
        <f t="shared" si="44"/>
        <v>-0.74</v>
      </c>
      <c r="CC40" s="86">
        <f t="shared" si="45"/>
        <v>1.3852797551397333</v>
      </c>
      <c r="CE40" s="86">
        <f>MMULT(MMULT(BW40:BZ40,AP15:AS18),CE45:CE48)</f>
        <v>49.041497968609114</v>
      </c>
      <c r="CF40" s="108">
        <f t="shared" si="48"/>
        <v>7.0029635132998598</v>
      </c>
      <c r="CG40" s="116"/>
    </row>
    <row r="41" spans="1:85">
      <c r="T41" s="105"/>
      <c r="V41" s="75" t="s">
        <v>60</v>
      </c>
      <c r="W41" s="133">
        <f>V119</f>
        <v>4.4259999999999957</v>
      </c>
      <c r="X41" s="133">
        <f>W42</f>
        <v>0.49499999999999927</v>
      </c>
      <c r="Y41" s="133">
        <f>W43</f>
        <v>3.2859999999999978</v>
      </c>
      <c r="Z41" s="133">
        <f>W44</f>
        <v>0.15199999999999975</v>
      </c>
      <c r="AD41" s="75" t="s">
        <v>60</v>
      </c>
      <c r="AE41" s="133">
        <f t="shared" ref="AE41:AH44" si="49">W32-W41</f>
        <v>0.94199999999999928</v>
      </c>
      <c r="AF41" s="133">
        <f t="shared" si="49"/>
        <v>8.0000000000001736E-3</v>
      </c>
      <c r="AG41" s="133">
        <f t="shared" si="49"/>
        <v>0.76199999999999957</v>
      </c>
      <c r="AH41" s="133">
        <f t="shared" si="49"/>
        <v>0.36800000000000005</v>
      </c>
      <c r="AU41" s="130"/>
      <c r="AV41" s="75">
        <v>10</v>
      </c>
      <c r="AW41" s="108">
        <f t="shared" si="31"/>
        <v>0.34000000000000075</v>
      </c>
      <c r="AX41" s="108">
        <f t="shared" si="32"/>
        <v>-0.60999999999999943</v>
      </c>
      <c r="AY41" s="108">
        <f t="shared" si="33"/>
        <v>2.4500000000000002</v>
      </c>
      <c r="AZ41" s="108">
        <f t="shared" si="34"/>
        <v>1.18</v>
      </c>
      <c r="BC41" s="87">
        <f t="shared" si="35"/>
        <v>2.807596837154509</v>
      </c>
      <c r="BD41" s="87"/>
      <c r="BE41" s="87">
        <f>MMULT(MMULT(AW41:AZ41,AP15:AS18),BF45:BF48)</f>
        <v>195.66492612176393</v>
      </c>
      <c r="BF41" s="87">
        <f t="shared" si="46"/>
        <v>13.988027956855245</v>
      </c>
      <c r="BH41" s="130"/>
      <c r="BI41" s="75">
        <v>10</v>
      </c>
      <c r="BJ41" s="108">
        <f t="shared" si="36"/>
        <v>-0.89999999999999947</v>
      </c>
      <c r="BK41" s="108">
        <f t="shared" si="37"/>
        <v>-0.16999999999999993</v>
      </c>
      <c r="BL41" s="108">
        <f t="shared" si="38"/>
        <v>-0.4700000000000002</v>
      </c>
      <c r="BM41" s="108">
        <f t="shared" si="39"/>
        <v>1.9999999999999796E-2</v>
      </c>
      <c r="BP41" s="108">
        <f t="shared" si="40"/>
        <v>1.0296601381038304</v>
      </c>
      <c r="BQ41" s="108"/>
      <c r="BR41" s="108">
        <f>MMULT(MMULT(BJ41:BM41,AP15:AS18),BS45:BS48)</f>
        <v>2.6546890462443029</v>
      </c>
      <c r="BS41" s="108">
        <f t="shared" si="47"/>
        <v>1.6293216521743958</v>
      </c>
      <c r="BU41" s="130"/>
      <c r="BV41" s="75">
        <v>10</v>
      </c>
      <c r="BW41" s="108">
        <f t="shared" si="41"/>
        <v>-1.37</v>
      </c>
      <c r="BX41" s="108">
        <f t="shared" si="42"/>
        <v>-0.23999999999999977</v>
      </c>
      <c r="BY41" s="108">
        <f t="shared" si="43"/>
        <v>-1.8699999999999997</v>
      </c>
      <c r="BZ41" s="108">
        <f t="shared" si="44"/>
        <v>-0.64000000000000012</v>
      </c>
      <c r="CC41" s="86">
        <f t="shared" si="45"/>
        <v>2.4168160873347397</v>
      </c>
      <c r="CE41" s="86">
        <f>MMULT(MMULT(BW41:BZ41,AP15:AS18),CF45:CF48)</f>
        <v>38.219240834757805</v>
      </c>
      <c r="CF41" s="108">
        <f t="shared" si="48"/>
        <v>6.1821712071696791</v>
      </c>
      <c r="CG41" s="116"/>
    </row>
    <row r="42" spans="1:85">
      <c r="B42" s="80" t="s">
        <v>234</v>
      </c>
      <c r="C42" s="85"/>
      <c r="D42" s="85"/>
      <c r="E42" s="85"/>
      <c r="F42" s="85"/>
      <c r="H42" s="80" t="s">
        <v>148</v>
      </c>
      <c r="I42" s="85"/>
      <c r="J42" s="85"/>
      <c r="K42" s="85"/>
      <c r="L42" s="85"/>
      <c r="N42" s="80" t="s">
        <v>149</v>
      </c>
      <c r="O42" s="85"/>
      <c r="P42" s="85"/>
      <c r="Q42" s="85"/>
      <c r="R42" s="85"/>
      <c r="T42" s="105"/>
      <c r="V42" s="75" t="s">
        <v>61</v>
      </c>
      <c r="W42" s="133">
        <f>Z119</f>
        <v>0.49499999999999927</v>
      </c>
      <c r="X42" s="133">
        <f>V133</f>
        <v>0.99000000000000021</v>
      </c>
      <c r="Y42" s="133">
        <f>X43</f>
        <v>0.49499999999999944</v>
      </c>
      <c r="Z42" s="133">
        <f>X44</f>
        <v>0.33999999999999986</v>
      </c>
      <c r="AD42" s="75" t="s">
        <v>61</v>
      </c>
      <c r="AE42" s="133">
        <f t="shared" si="49"/>
        <v>8.0000000000001736E-3</v>
      </c>
      <c r="AF42" s="133">
        <f t="shared" si="49"/>
        <v>4.6666666666665968E-3</v>
      </c>
      <c r="AG42" s="133">
        <f t="shared" si="49"/>
        <v>-1.9999999999997797E-3</v>
      </c>
      <c r="AH42" s="133">
        <f t="shared" si="49"/>
        <v>-1.3333333333333308E-2</v>
      </c>
      <c r="AU42" s="130"/>
      <c r="BH42" s="130"/>
      <c r="BU42" s="130"/>
      <c r="CG42" s="116"/>
    </row>
    <row r="43" spans="1:85">
      <c r="C43" s="75" t="s">
        <v>60</v>
      </c>
      <c r="D43" s="75" t="s">
        <v>61</v>
      </c>
      <c r="E43" s="75" t="s">
        <v>62</v>
      </c>
      <c r="F43" s="75" t="s">
        <v>63</v>
      </c>
      <c r="I43" s="75" t="s">
        <v>60</v>
      </c>
      <c r="J43" s="75" t="s">
        <v>61</v>
      </c>
      <c r="K43" s="75" t="s">
        <v>62</v>
      </c>
      <c r="L43" s="75" t="s">
        <v>63</v>
      </c>
      <c r="O43" s="75" t="s">
        <v>60</v>
      </c>
      <c r="P43" s="75" t="s">
        <v>61</v>
      </c>
      <c r="Q43" s="75" t="s">
        <v>62</v>
      </c>
      <c r="R43" s="75" t="s">
        <v>63</v>
      </c>
      <c r="T43" s="105"/>
      <c r="V43" s="75" t="s">
        <v>62</v>
      </c>
      <c r="W43" s="133">
        <f>AD119</f>
        <v>3.2859999999999978</v>
      </c>
      <c r="X43" s="133">
        <f>Z133</f>
        <v>0.49499999999999944</v>
      </c>
      <c r="Y43" s="133">
        <f>V147</f>
        <v>3.0809999999999986</v>
      </c>
      <c r="Z43" s="133">
        <f>Y44</f>
        <v>0.22199999999999995</v>
      </c>
      <c r="AD43" s="75" t="s">
        <v>62</v>
      </c>
      <c r="AE43" s="133">
        <f t="shared" si="49"/>
        <v>0.76199999999999957</v>
      </c>
      <c r="AF43" s="133">
        <f t="shared" si="49"/>
        <v>-1.9999999999997797E-3</v>
      </c>
      <c r="AG43" s="133">
        <f t="shared" si="49"/>
        <v>0.63200000000000101</v>
      </c>
      <c r="AH43" s="133">
        <f t="shared" si="49"/>
        <v>0.32799999999999996</v>
      </c>
      <c r="AU43" s="130"/>
      <c r="AV43" s="75" t="s">
        <v>453</v>
      </c>
      <c r="BH43" s="130"/>
      <c r="BI43" s="75" t="s">
        <v>453</v>
      </c>
      <c r="BU43" s="130"/>
      <c r="BV43" s="75" t="s">
        <v>453</v>
      </c>
      <c r="CG43" s="116"/>
    </row>
    <row r="44" spans="1:85">
      <c r="B44" s="75" t="s">
        <v>60</v>
      </c>
      <c r="C44" s="86">
        <f>(COVAR(B8:B17,B8:B17)*$A$17)/($A$17-1)</f>
        <v>8.4888888888888916E-2</v>
      </c>
      <c r="D44" s="86">
        <f>(COVAR(B8:B17,C8:C17)*$A$17)/($A$17-1)</f>
        <v>7.0444444444444435E-2</v>
      </c>
      <c r="E44" s="86">
        <f>(COVAR(B8:B17,E8:E17)*$A$17)/($A$17-1)</f>
        <v>1.8888888888888899E-2</v>
      </c>
      <c r="F44" s="86">
        <f>(COVAR(B8:B17,F8:F17)*$A$17)/($A$17-1)</f>
        <v>8.6666666666666663E-3</v>
      </c>
      <c r="H44" s="75" t="s">
        <v>60</v>
      </c>
      <c r="I44" s="86">
        <f>(COVAR(H8:H17,H8:H17)*$A$17)/($A$17-1)</f>
        <v>0.52888888888888874</v>
      </c>
      <c r="J44" s="86">
        <f>(COVAR(H8:H17,I8:I17)*$A$17)/($A$17-1)</f>
        <v>0.19333333333333336</v>
      </c>
      <c r="K44" s="86">
        <f>(COVAR(H8:H17,K8:K17)*$A$17)/($A$17-1)</f>
        <v>0.32333333333333336</v>
      </c>
      <c r="L44" s="86">
        <f>(COVAR(H8:H17,L8:L17)*$A$17)/($A$17-1)</f>
        <v>0.08</v>
      </c>
      <c r="N44" s="75" t="s">
        <v>60</v>
      </c>
      <c r="O44" s="86">
        <f>(COVAR(N8:N17,N8:N17)*$A$17)/($A$17-1)</f>
        <v>0.64677777777777756</v>
      </c>
      <c r="P44" s="86">
        <f>(COVAR(N8:N17,O8:O17)*$A$17)/($A$17-1)</f>
        <v>0.13911111111111107</v>
      </c>
      <c r="Q44" s="86">
        <f>(COVAR(N8:N17,Q8:Q17)*$A$17)/($A$17-1)</f>
        <v>0.46011111111111103</v>
      </c>
      <c r="R44" s="86">
        <f>(COVAR(N8:N17,R8:R17)*$A$17)/($A$17-1)</f>
        <v>8.6888888888888918E-2</v>
      </c>
      <c r="T44" s="105"/>
      <c r="V44" s="75" t="s">
        <v>63</v>
      </c>
      <c r="W44" s="133">
        <f>AH119</f>
        <v>0.15199999999999975</v>
      </c>
      <c r="X44" s="133">
        <f>AD133</f>
        <v>0.33999999999999986</v>
      </c>
      <c r="Y44" s="133">
        <f>Z147</f>
        <v>0.22199999999999995</v>
      </c>
      <c r="Z44" s="133">
        <f>V161</f>
        <v>0.36399999999999988</v>
      </c>
      <c r="AD44" s="75" t="s">
        <v>63</v>
      </c>
      <c r="AE44" s="133">
        <f t="shared" si="49"/>
        <v>0.36800000000000005</v>
      </c>
      <c r="AF44" s="133">
        <f t="shared" si="49"/>
        <v>-1.3333333333333308E-2</v>
      </c>
      <c r="AG44" s="133">
        <f t="shared" si="49"/>
        <v>0.32799999999999996</v>
      </c>
      <c r="AH44" s="133">
        <f t="shared" si="49"/>
        <v>0.20266666666666677</v>
      </c>
      <c r="AU44" s="130"/>
      <c r="AW44" s="75">
        <v>1</v>
      </c>
      <c r="AX44" s="75">
        <v>2</v>
      </c>
      <c r="AY44" s="75">
        <v>3</v>
      </c>
      <c r="AZ44" s="75">
        <v>4</v>
      </c>
      <c r="BA44" s="75">
        <v>5</v>
      </c>
      <c r="BB44" s="75">
        <v>6</v>
      </c>
      <c r="BC44" s="75">
        <v>7</v>
      </c>
      <c r="BD44" s="75">
        <v>8</v>
      </c>
      <c r="BE44" s="75">
        <v>9</v>
      </c>
      <c r="BF44" s="75">
        <v>10</v>
      </c>
      <c r="BH44" s="130"/>
      <c r="BJ44" s="75">
        <v>1</v>
      </c>
      <c r="BK44" s="75">
        <v>2</v>
      </c>
      <c r="BL44" s="75">
        <v>3</v>
      </c>
      <c r="BM44" s="75">
        <v>4</v>
      </c>
      <c r="BN44" s="75">
        <v>5</v>
      </c>
      <c r="BO44" s="75">
        <v>6</v>
      </c>
      <c r="BP44" s="75">
        <v>7</v>
      </c>
      <c r="BQ44" s="75">
        <v>8</v>
      </c>
      <c r="BR44" s="75">
        <v>9</v>
      </c>
      <c r="BS44" s="75">
        <v>10</v>
      </c>
      <c r="BU44" s="130"/>
      <c r="BW44" s="75">
        <v>1</v>
      </c>
      <c r="BX44" s="75">
        <v>2</v>
      </c>
      <c r="BY44" s="75">
        <v>3</v>
      </c>
      <c r="BZ44" s="75">
        <v>4</v>
      </c>
      <c r="CA44" s="75">
        <v>5</v>
      </c>
      <c r="CB44" s="75">
        <v>6</v>
      </c>
      <c r="CC44" s="75">
        <v>7</v>
      </c>
      <c r="CD44" s="75">
        <v>8</v>
      </c>
      <c r="CE44" s="75">
        <v>9</v>
      </c>
      <c r="CF44" s="75">
        <v>10</v>
      </c>
      <c r="CG44" s="116"/>
    </row>
    <row r="45" spans="1:85">
      <c r="B45" s="75" t="s">
        <v>61</v>
      </c>
      <c r="C45" s="86">
        <f>D44</f>
        <v>7.0444444444444435E-2</v>
      </c>
      <c r="D45" s="86">
        <f>(COVAR(C8:C17,C8:C17)*$A$17)/($A$17-1)</f>
        <v>9.4333333333333325E-2</v>
      </c>
      <c r="E45" s="86">
        <f>(COVAR(C8:C17,E8:E17)*$A$17)/($A$17-1)</f>
        <v>1.7222222222222215E-2</v>
      </c>
      <c r="F45" s="86">
        <f>(COVAR(C8:C17,F8:F17)*$A$17)/($A$17-1)</f>
        <v>1.6444444444444442E-2</v>
      </c>
      <c r="H45" s="75" t="s">
        <v>61</v>
      </c>
      <c r="I45" s="86">
        <f>J44</f>
        <v>0.19333333333333336</v>
      </c>
      <c r="J45" s="86">
        <f>(COVAR(I8:I17,I8:I17)*$A$17)/($A$17-1)</f>
        <v>0.11566666666666668</v>
      </c>
      <c r="K45" s="86">
        <f>(COVAR(I8:I17,K8:K17)*$A$17)/($A$17-1)</f>
        <v>0.13233333333333339</v>
      </c>
      <c r="L45" s="86">
        <f>(COVAR(I8:I17,L8:L17)*$A$17)/($A$17-1)</f>
        <v>4.2666666666666658E-2</v>
      </c>
      <c r="N45" s="75" t="s">
        <v>61</v>
      </c>
      <c r="O45" s="86">
        <f>P44</f>
        <v>0.13911111111111107</v>
      </c>
      <c r="P45" s="86">
        <f>(COVAR(O8:O17,O8:O17)*$A$17)/($A$17-1)</f>
        <v>0.11377777777777778</v>
      </c>
      <c r="Q45" s="86">
        <f>(COVAR(O8:O17,Q8:Q17)*$A$17)/($A$17-1)</f>
        <v>0.11688888888888888</v>
      </c>
      <c r="R45" s="86">
        <f>(COVAR(O8:O17,R8:R17)*$A$17)/($A$17-1)</f>
        <v>8.822222222222223E-2</v>
      </c>
      <c r="T45" s="105"/>
      <c r="AU45" s="130"/>
      <c r="AV45" s="106" t="s">
        <v>60</v>
      </c>
      <c r="AW45" s="75">
        <v>2.14</v>
      </c>
      <c r="AX45" s="75">
        <v>1.54</v>
      </c>
      <c r="AY45" s="75">
        <v>2.04</v>
      </c>
      <c r="AZ45" s="75">
        <v>0.64000000000000057</v>
      </c>
      <c r="BA45" s="75">
        <v>1.64</v>
      </c>
      <c r="BB45" s="75">
        <v>0.84000000000000075</v>
      </c>
      <c r="BC45" s="75">
        <v>1.44</v>
      </c>
      <c r="BD45" s="75">
        <v>4.0000000000000924E-2</v>
      </c>
      <c r="BE45" s="75">
        <v>1.74</v>
      </c>
      <c r="BF45" s="75">
        <v>0.34000000000000075</v>
      </c>
      <c r="BH45" s="130"/>
      <c r="BI45" s="106" t="s">
        <v>60</v>
      </c>
      <c r="BJ45" s="108">
        <v>0.9</v>
      </c>
      <c r="BK45" s="108">
        <v>0.30000000000000071</v>
      </c>
      <c r="BL45" s="108">
        <v>0.80000000000000071</v>
      </c>
      <c r="BM45" s="108">
        <v>-0.6</v>
      </c>
      <c r="BN45" s="108">
        <v>0.4</v>
      </c>
      <c r="BO45" s="108">
        <v>-0.39999999999999947</v>
      </c>
      <c r="BP45" s="108">
        <v>0.2</v>
      </c>
      <c r="BQ45" s="108">
        <v>-1.2</v>
      </c>
      <c r="BR45" s="108">
        <v>0.5</v>
      </c>
      <c r="BS45" s="108">
        <v>-0.89999999999999947</v>
      </c>
      <c r="BT45" s="108"/>
      <c r="BU45" s="130"/>
      <c r="BV45" s="106" t="s">
        <v>60</v>
      </c>
      <c r="BW45" s="108">
        <v>0.43</v>
      </c>
      <c r="BX45" s="108">
        <v>-0.17</v>
      </c>
      <c r="BY45" s="108">
        <v>0.33</v>
      </c>
      <c r="BZ45" s="108">
        <v>-1.07</v>
      </c>
      <c r="CA45" s="108">
        <v>-7.0000000000000284E-2</v>
      </c>
      <c r="CB45" s="108">
        <v>-0.87</v>
      </c>
      <c r="CC45" s="108">
        <v>-0.27</v>
      </c>
      <c r="CD45" s="108">
        <v>-1.67</v>
      </c>
      <c r="CE45" s="108">
        <v>2.9999999999999361E-2</v>
      </c>
      <c r="CF45" s="108">
        <v>-1.37</v>
      </c>
      <c r="CG45" s="116"/>
    </row>
    <row r="46" spans="1:85">
      <c r="B46" s="75" t="s">
        <v>62</v>
      </c>
      <c r="C46" s="86">
        <f>E44</f>
        <v>1.8888888888888899E-2</v>
      </c>
      <c r="D46" s="86">
        <f>E45</f>
        <v>1.7222222222222215E-2</v>
      </c>
      <c r="E46" s="86">
        <f>(COVAR(E8:E17,E8:E17)*$A$17)/($A$17-1)</f>
        <v>1.1666666666666667E-2</v>
      </c>
      <c r="F46" s="86">
        <f>(COVAR(E8:E17,F8:F17)*$A$17)/($A$17-1)</f>
        <v>4.4444444444444436E-3</v>
      </c>
      <c r="H46" s="75" t="s">
        <v>62</v>
      </c>
      <c r="I46" s="86">
        <f>K44</f>
        <v>0.32333333333333336</v>
      </c>
      <c r="J46" s="86">
        <f>K45</f>
        <v>0.13233333333333339</v>
      </c>
      <c r="K46" s="86">
        <f>(COVAR(K8:K17,K8:K17)*$A$17)/($A$17-1)</f>
        <v>0.23788888888888898</v>
      </c>
      <c r="L46" s="86">
        <f>(COVAR(K8:K17,L8:L17)*$A$17)/($A$17-1)</f>
        <v>6.4888888888888926E-2</v>
      </c>
      <c r="N46" s="75" t="s">
        <v>62</v>
      </c>
      <c r="O46" s="86">
        <f>Q44</f>
        <v>0.46011111111111103</v>
      </c>
      <c r="P46" s="86">
        <f>Q45</f>
        <v>0.11688888888888888</v>
      </c>
      <c r="Q46" s="86">
        <f>(COVAR(Q8:Q17,Q8:Q17)*$A$17)/($A$17-1)</f>
        <v>0.3601111111111111</v>
      </c>
      <c r="R46" s="86">
        <f>(COVAR(Q8:Q17,R8:R17)*$A$17)/($A$17-1)</f>
        <v>8.3555555555555577E-2</v>
      </c>
      <c r="T46" s="105"/>
      <c r="U46" s="75" t="s">
        <v>303</v>
      </c>
      <c r="X46" s="96">
        <f>MDETERM(W41:Z44)</f>
        <v>0.62043639399999906</v>
      </c>
      <c r="AF46" s="133"/>
      <c r="AU46" s="130"/>
      <c r="AV46" s="106" t="s">
        <v>61</v>
      </c>
      <c r="AW46" s="75">
        <v>-0.10999999999999943</v>
      </c>
      <c r="AX46" s="75">
        <v>-0.10999999999999943</v>
      </c>
      <c r="AY46" s="75">
        <v>-0.21</v>
      </c>
      <c r="AZ46" s="75">
        <v>-1.01</v>
      </c>
      <c r="BA46" s="75">
        <v>-0.51</v>
      </c>
      <c r="BB46" s="75">
        <v>-0.51</v>
      </c>
      <c r="BC46" s="75">
        <v>-9.9999999999997868E-3</v>
      </c>
      <c r="BD46" s="75">
        <v>-0.91</v>
      </c>
      <c r="BE46" s="75">
        <v>-0.41</v>
      </c>
      <c r="BF46" s="75">
        <v>-0.60999999999999943</v>
      </c>
      <c r="BH46" s="130"/>
      <c r="BI46" s="106" t="s">
        <v>61</v>
      </c>
      <c r="BJ46" s="108">
        <v>0.33</v>
      </c>
      <c r="BK46" s="108">
        <v>0.33</v>
      </c>
      <c r="BL46" s="108">
        <v>0.23</v>
      </c>
      <c r="BM46" s="108">
        <v>-0.56999999999999995</v>
      </c>
      <c r="BN46" s="108">
        <v>-7.0000000000000284E-2</v>
      </c>
      <c r="BO46" s="108">
        <v>-7.0000000000000284E-2</v>
      </c>
      <c r="BP46" s="108">
        <v>0.43</v>
      </c>
      <c r="BQ46" s="108">
        <v>-0.47</v>
      </c>
      <c r="BR46" s="108">
        <v>2.9999999999999805E-2</v>
      </c>
      <c r="BS46" s="108">
        <v>-0.17</v>
      </c>
      <c r="BT46" s="108"/>
      <c r="BU46" s="130"/>
      <c r="BV46" s="106" t="s">
        <v>61</v>
      </c>
      <c r="BW46" s="108">
        <v>0.26</v>
      </c>
      <c r="BX46" s="108">
        <v>0.26</v>
      </c>
      <c r="BY46" s="108">
        <v>0.16</v>
      </c>
      <c r="BZ46" s="108">
        <v>-0.64</v>
      </c>
      <c r="CA46" s="108">
        <v>-0.14000000000000001</v>
      </c>
      <c r="CB46" s="108">
        <v>-0.14000000000000001</v>
      </c>
      <c r="CC46" s="108">
        <v>0.36</v>
      </c>
      <c r="CD46" s="108">
        <v>-0.54</v>
      </c>
      <c r="CE46" s="108">
        <v>-0.04</v>
      </c>
      <c r="CF46" s="108">
        <v>-0.24</v>
      </c>
      <c r="CG46" s="116"/>
    </row>
    <row r="47" spans="1:85">
      <c r="B47" s="75" t="s">
        <v>63</v>
      </c>
      <c r="C47" s="86">
        <f>F44</f>
        <v>8.6666666666666663E-3</v>
      </c>
      <c r="D47" s="86">
        <f>F45</f>
        <v>1.6444444444444442E-2</v>
      </c>
      <c r="E47" s="86">
        <f>F46</f>
        <v>4.4444444444444436E-3</v>
      </c>
      <c r="F47" s="86">
        <f>(COVAR(F8:F17,F8:F17)*$A$17)/($A$17-1)</f>
        <v>6.2222222222222219E-3</v>
      </c>
      <c r="H47" s="75" t="s">
        <v>63</v>
      </c>
      <c r="I47" s="86">
        <f>L44</f>
        <v>0.08</v>
      </c>
      <c r="J47" s="86">
        <f>L45</f>
        <v>4.2666666666666658E-2</v>
      </c>
      <c r="K47" s="86">
        <f>L46</f>
        <v>6.4888888888888926E-2</v>
      </c>
      <c r="L47" s="86">
        <f>(COVAR(L8:L17,L8:L17)*$A$17)/($A$17-1)</f>
        <v>2.8444444444444446E-2</v>
      </c>
      <c r="N47" s="75" t="s">
        <v>63</v>
      </c>
      <c r="O47" s="86">
        <f>R44</f>
        <v>8.6888888888888918E-2</v>
      </c>
      <c r="P47" s="86">
        <f>R45</f>
        <v>8.822222222222223E-2</v>
      </c>
      <c r="Q47" s="86">
        <f>R46</f>
        <v>8.3555555555555577E-2</v>
      </c>
      <c r="R47" s="86">
        <f>(COVAR(R8:R17,R8:R17)*$A$17)/($A$17-1)</f>
        <v>8.4888888888888889E-2</v>
      </c>
      <c r="T47" s="108"/>
      <c r="U47" s="96"/>
      <c r="AU47" s="130"/>
      <c r="AV47" s="106" t="s">
        <v>62</v>
      </c>
      <c r="AW47" s="75">
        <v>3.25</v>
      </c>
      <c r="AX47" s="75">
        <v>3.05</v>
      </c>
      <c r="AY47" s="75">
        <v>3.45</v>
      </c>
      <c r="AZ47" s="75">
        <v>2.5499999999999998</v>
      </c>
      <c r="BA47" s="75">
        <v>3.15</v>
      </c>
      <c r="BB47" s="75">
        <v>3.05</v>
      </c>
      <c r="BC47" s="75">
        <v>3.25</v>
      </c>
      <c r="BD47" s="75">
        <v>1.85</v>
      </c>
      <c r="BE47" s="75">
        <v>3.15</v>
      </c>
      <c r="BF47" s="75">
        <v>2.4500000000000002</v>
      </c>
      <c r="BH47" s="130"/>
      <c r="BI47" s="106" t="s">
        <v>62</v>
      </c>
      <c r="BJ47" s="108">
        <v>0.33</v>
      </c>
      <c r="BK47" s="108">
        <v>0.13</v>
      </c>
      <c r="BL47" s="108">
        <v>0.53</v>
      </c>
      <c r="BM47" s="108">
        <v>-0.37</v>
      </c>
      <c r="BN47" s="108">
        <v>0.23</v>
      </c>
      <c r="BO47" s="108">
        <v>0.13</v>
      </c>
      <c r="BP47" s="108">
        <v>0.33</v>
      </c>
      <c r="BQ47" s="108">
        <v>-1.07</v>
      </c>
      <c r="BR47" s="108">
        <v>0.23</v>
      </c>
      <c r="BS47" s="108">
        <v>-0.47</v>
      </c>
      <c r="BT47" s="108"/>
      <c r="BU47" s="130"/>
      <c r="BV47" s="106" t="s">
        <v>62</v>
      </c>
      <c r="BW47" s="108">
        <v>-1.07</v>
      </c>
      <c r="BX47" s="108">
        <v>-1.27</v>
      </c>
      <c r="BY47" s="108">
        <v>-0.86999999999999922</v>
      </c>
      <c r="BZ47" s="108">
        <v>-1.77</v>
      </c>
      <c r="CA47" s="108">
        <v>-1.17</v>
      </c>
      <c r="CB47" s="108">
        <v>-1.27</v>
      </c>
      <c r="CC47" s="108">
        <v>-1.07</v>
      </c>
      <c r="CD47" s="108">
        <v>-2.4700000000000002</v>
      </c>
      <c r="CE47" s="108">
        <v>-1.17</v>
      </c>
      <c r="CF47" s="108">
        <v>-1.87</v>
      </c>
      <c r="CG47" s="116"/>
    </row>
    <row r="48" spans="1:85">
      <c r="T48" s="108"/>
      <c r="U48" s="75" t="s">
        <v>59</v>
      </c>
      <c r="AU48" s="130"/>
      <c r="AV48" s="106" t="s">
        <v>63</v>
      </c>
      <c r="AW48" s="75">
        <v>1.18</v>
      </c>
      <c r="AX48" s="75">
        <v>1.28</v>
      </c>
      <c r="AY48" s="75">
        <v>1.28</v>
      </c>
      <c r="AZ48" s="75">
        <v>1.08</v>
      </c>
      <c r="BA48" s="75">
        <v>1.28</v>
      </c>
      <c r="BB48" s="75">
        <v>1.08</v>
      </c>
      <c r="BC48" s="75">
        <v>1.38</v>
      </c>
      <c r="BD48" s="75">
        <v>0.78</v>
      </c>
      <c r="BE48" s="75">
        <v>1.08</v>
      </c>
      <c r="BF48" s="75">
        <v>1.18</v>
      </c>
      <c r="BH48" s="130"/>
      <c r="BI48" s="106" t="s">
        <v>63</v>
      </c>
      <c r="BJ48" s="108">
        <v>1.9999999999999796E-2</v>
      </c>
      <c r="BK48" s="108">
        <v>0.12</v>
      </c>
      <c r="BL48" s="108">
        <v>0.12</v>
      </c>
      <c r="BM48" s="108">
        <v>-8.0000000000000071E-2</v>
      </c>
      <c r="BN48" s="108">
        <v>0.12</v>
      </c>
      <c r="BO48" s="108">
        <v>-8.0000000000000071E-2</v>
      </c>
      <c r="BP48" s="108">
        <v>0.22</v>
      </c>
      <c r="BQ48" s="108">
        <v>-0.38</v>
      </c>
      <c r="BR48" s="108">
        <v>-8.0000000000000071E-2</v>
      </c>
      <c r="BS48" s="108">
        <v>1.9999999999999796E-2</v>
      </c>
      <c r="BT48" s="108"/>
      <c r="BU48" s="130"/>
      <c r="BV48" s="106" t="s">
        <v>63</v>
      </c>
      <c r="BW48" s="108">
        <v>-0.64</v>
      </c>
      <c r="BX48" s="108">
        <v>-0.54</v>
      </c>
      <c r="BY48" s="108">
        <v>-0.54</v>
      </c>
      <c r="BZ48" s="108">
        <v>-0.74</v>
      </c>
      <c r="CA48" s="108">
        <v>-0.54</v>
      </c>
      <c r="CB48" s="108">
        <v>-0.74</v>
      </c>
      <c r="CC48" s="108">
        <v>-0.44</v>
      </c>
      <c r="CD48" s="108">
        <v>-1.04</v>
      </c>
      <c r="CE48" s="108">
        <v>-0.74</v>
      </c>
      <c r="CF48" s="108">
        <v>-0.64</v>
      </c>
      <c r="CG48" s="116"/>
    </row>
    <row r="49" spans="2:85">
      <c r="U49" s="75" t="s">
        <v>58</v>
      </c>
      <c r="AU49" s="131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131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131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132"/>
    </row>
    <row r="50" spans="2:85">
      <c r="B50" s="75" t="s">
        <v>382</v>
      </c>
      <c r="U50" s="75">
        <v>1</v>
      </c>
      <c r="V50" s="108">
        <f>(V11-$V$23)*(V11-$V$23)</f>
        <v>7.2900000000000464E-2</v>
      </c>
      <c r="W50" s="108">
        <f t="shared" ref="W50:W59" si="50">(AB11-$V$23)*(AB11-$V$23)</f>
        <v>3.2400000000000075E-2</v>
      </c>
      <c r="X50" s="108">
        <f t="shared" ref="X50:X59" si="51">(AH11-$V$23)*(AH11-$V$23)</f>
        <v>2.890000000000011E-2</v>
      </c>
      <c r="Z50" s="108">
        <f t="shared" ref="Z50:Z59" si="52">(V11-$V$23)*(W11-$W$23)</f>
        <v>1.4399999999999987E-2</v>
      </c>
      <c r="AA50" s="108">
        <f t="shared" ref="AA50:AA59" si="53">(AB11-$V$23)*(AC11-$W$23)</f>
        <v>1.7400000000000124E-2</v>
      </c>
      <c r="AB50" s="108">
        <f t="shared" ref="AB50:AB59" si="54">(AH11-$V$23)*(AI11-$W$23)</f>
        <v>-1.643333333333331E-2</v>
      </c>
      <c r="AD50" s="108">
        <f t="shared" ref="AD50:AD59" si="55">(V11-$V$23)*(Y11-$Y$23)</f>
        <v>7.2900000000000256E-2</v>
      </c>
      <c r="AE50" s="108">
        <f t="shared" ref="AE50:AE59" si="56">(AB11-$V$23)*(AE11-$Y$23)</f>
        <v>-2.1599999999999973E-2</v>
      </c>
      <c r="AF50" s="108">
        <f t="shared" ref="AF50:AF59" si="57">(AH11-$V$23)*(AK11-$Y$23)</f>
        <v>2.0399999999999991E-2</v>
      </c>
      <c r="AH50" s="108">
        <f t="shared" ref="AH50:AH59" si="58">(V11-$V$23)*(Z11-$Z$23)</f>
        <v>3.6000000000000122E-2</v>
      </c>
      <c r="AI50" s="108">
        <f t="shared" ref="AI50:AI59" si="59">(AB11-$V$23)*(AF11-$Z$23)</f>
        <v>-2.4000000000000032E-2</v>
      </c>
      <c r="AJ50" s="108">
        <f t="shared" ref="AJ50:AJ59" si="60">(AH11-$V$23)*(AL11-$Z$23)</f>
        <v>-6.2333333333333442E-2</v>
      </c>
      <c r="AU50" s="130"/>
      <c r="BH50" s="130"/>
      <c r="BU50" s="130"/>
      <c r="CG50" s="116"/>
    </row>
    <row r="51" spans="2:85">
      <c r="S51" s="112"/>
      <c r="U51" s="75">
        <v>2</v>
      </c>
      <c r="V51" s="108">
        <f t="shared" ref="V51:V59" si="61">(V12-$V$23)*(V12-$V$23)</f>
        <v>0.22090000000000012</v>
      </c>
      <c r="W51" s="108">
        <f t="shared" si="50"/>
        <v>0.17639999999999953</v>
      </c>
      <c r="X51" s="108">
        <f t="shared" si="51"/>
        <v>0.10889999999999979</v>
      </c>
      <c r="Z51" s="108">
        <f t="shared" si="52"/>
        <v>-2.1933333333333273E-2</v>
      </c>
      <c r="AA51" s="108">
        <f t="shared" si="53"/>
        <v>-4.0600000000000185E-2</v>
      </c>
      <c r="AB51" s="108">
        <f t="shared" si="54"/>
        <v>-1.0999999999999877E-3</v>
      </c>
      <c r="AD51" s="108">
        <f t="shared" si="55"/>
        <v>0.12690000000000007</v>
      </c>
      <c r="AE51" s="108">
        <f t="shared" si="56"/>
        <v>9.2399999999999982E-2</v>
      </c>
      <c r="AF51" s="108">
        <f t="shared" si="57"/>
        <v>0.15839999999999982</v>
      </c>
      <c r="AH51" s="108">
        <f t="shared" si="58"/>
        <v>6.2666666666666704E-2</v>
      </c>
      <c r="AI51" s="108">
        <f t="shared" si="59"/>
        <v>1.3999999999999955E-2</v>
      </c>
      <c r="AJ51" s="108">
        <f t="shared" si="60"/>
        <v>-1.0999999999999968E-2</v>
      </c>
      <c r="AU51" s="130"/>
      <c r="AV51" s="82" t="s">
        <v>451</v>
      </c>
      <c r="BH51" s="130"/>
      <c r="BI51" s="82" t="s">
        <v>265</v>
      </c>
      <c r="BU51" s="130"/>
      <c r="BV51" s="82" t="s">
        <v>264</v>
      </c>
      <c r="CG51" s="116"/>
    </row>
    <row r="52" spans="2:85">
      <c r="B52" s="80" t="s">
        <v>202</v>
      </c>
      <c r="C52" s="85"/>
      <c r="D52" s="85"/>
      <c r="E52" s="85"/>
      <c r="F52" s="85"/>
      <c r="H52" s="80" t="s">
        <v>203</v>
      </c>
      <c r="I52" s="85"/>
      <c r="J52" s="85"/>
      <c r="K52" s="85"/>
      <c r="L52" s="85"/>
      <c r="N52" s="80" t="s">
        <v>204</v>
      </c>
      <c r="O52" s="85"/>
      <c r="P52" s="85"/>
      <c r="Q52" s="85"/>
      <c r="R52" s="85"/>
      <c r="S52" s="136"/>
      <c r="U52" s="75">
        <v>3</v>
      </c>
      <c r="V52" s="108">
        <f t="shared" si="61"/>
        <v>7.2899999999999979E-2</v>
      </c>
      <c r="W52" s="108">
        <f t="shared" si="50"/>
        <v>6.4000000000000914E-3</v>
      </c>
      <c r="X52" s="108">
        <f t="shared" si="51"/>
        <v>8.9999999999999163E-4</v>
      </c>
      <c r="Z52" s="108">
        <f t="shared" si="52"/>
        <v>4.1400000000000083E-2</v>
      </c>
      <c r="AA52" s="108">
        <f t="shared" si="53"/>
        <v>-2.666666666666303E-4</v>
      </c>
      <c r="AB52" s="108">
        <f t="shared" si="54"/>
        <v>-6.0999999999999761E-3</v>
      </c>
      <c r="AD52" s="108">
        <f t="shared" si="55"/>
        <v>4.5900000000000052E-2</v>
      </c>
      <c r="AE52" s="108">
        <f t="shared" si="56"/>
        <v>6.4000000000000827E-3</v>
      </c>
      <c r="AF52" s="108">
        <f t="shared" si="57"/>
        <v>-6.5999999999999505E-3</v>
      </c>
      <c r="AH52" s="108">
        <f t="shared" si="58"/>
        <v>3.6000000000000004E-2</v>
      </c>
      <c r="AI52" s="108">
        <f t="shared" si="59"/>
        <v>-2.6666666666666805E-3</v>
      </c>
      <c r="AJ52" s="108">
        <f t="shared" si="60"/>
        <v>-9.9999999999999352E-4</v>
      </c>
      <c r="AU52" s="130"/>
      <c r="AV52" s="75" t="s">
        <v>452</v>
      </c>
      <c r="BC52" s="81" t="s">
        <v>242</v>
      </c>
      <c r="BE52" s="186" t="s">
        <v>243</v>
      </c>
      <c r="BF52" s="186"/>
      <c r="BH52" s="130"/>
      <c r="BI52" s="75" t="s">
        <v>452</v>
      </c>
      <c r="BP52" s="81" t="s">
        <v>242</v>
      </c>
      <c r="BR52" s="186" t="s">
        <v>243</v>
      </c>
      <c r="BS52" s="186"/>
      <c r="BU52" s="130"/>
      <c r="BV52" s="75" t="s">
        <v>452</v>
      </c>
      <c r="CC52" s="81" t="s">
        <v>242</v>
      </c>
      <c r="CE52" s="186" t="s">
        <v>243</v>
      </c>
      <c r="CF52" s="186"/>
      <c r="CG52" s="116"/>
    </row>
    <row r="53" spans="2:85">
      <c r="C53" s="75" t="s">
        <v>60</v>
      </c>
      <c r="D53" s="75" t="s">
        <v>61</v>
      </c>
      <c r="E53" s="75" t="s">
        <v>62</v>
      </c>
      <c r="F53" s="75" t="s">
        <v>63</v>
      </c>
      <c r="I53" s="75" t="s">
        <v>60</v>
      </c>
      <c r="J53" s="75" t="s">
        <v>61</v>
      </c>
      <c r="K53" s="75" t="s">
        <v>62</v>
      </c>
      <c r="L53" s="75" t="s">
        <v>63</v>
      </c>
      <c r="O53" s="75" t="s">
        <v>60</v>
      </c>
      <c r="P53" s="75" t="s">
        <v>61</v>
      </c>
      <c r="Q53" s="75" t="s">
        <v>62</v>
      </c>
      <c r="R53" s="75" t="s">
        <v>63</v>
      </c>
      <c r="S53" s="112"/>
      <c r="U53" s="75">
        <v>4</v>
      </c>
      <c r="V53" s="108">
        <f t="shared" si="61"/>
        <v>2.8899999999999804E-2</v>
      </c>
      <c r="W53" s="108">
        <f t="shared" si="50"/>
        <v>0.14439999999999961</v>
      </c>
      <c r="X53" s="108">
        <f t="shared" si="51"/>
        <v>2.890000000000011E-2</v>
      </c>
      <c r="Z53" s="108">
        <f t="shared" si="52"/>
        <v>9.066666666666676E-3</v>
      </c>
      <c r="AA53" s="108">
        <f t="shared" si="53"/>
        <v>0.11273333333333313</v>
      </c>
      <c r="AB53" s="108">
        <f t="shared" si="54"/>
        <v>3.4566666666666683E-2</v>
      </c>
      <c r="AD53" s="108">
        <f t="shared" si="55"/>
        <v>2.8899999999999901E-2</v>
      </c>
      <c r="AE53" s="108">
        <f t="shared" si="56"/>
        <v>0.10639999999999977</v>
      </c>
      <c r="AF53" s="108">
        <f t="shared" si="57"/>
        <v>3.4000000000000189E-3</v>
      </c>
      <c r="AH53" s="108">
        <f t="shared" si="58"/>
        <v>2.2666666666666595E-2</v>
      </c>
      <c r="AI53" s="108">
        <f t="shared" si="59"/>
        <v>-1.2666666666666711E-2</v>
      </c>
      <c r="AJ53" s="108">
        <f t="shared" si="60"/>
        <v>-1.1333333333333343E-2</v>
      </c>
      <c r="AU53" s="130"/>
      <c r="AW53" s="81" t="s">
        <v>60</v>
      </c>
      <c r="AX53" s="81" t="s">
        <v>61</v>
      </c>
      <c r="AY53" s="81" t="s">
        <v>62</v>
      </c>
      <c r="AZ53" s="81" t="s">
        <v>63</v>
      </c>
      <c r="BC53" s="104" t="s">
        <v>241</v>
      </c>
      <c r="BE53" s="104" t="s">
        <v>82</v>
      </c>
      <c r="BF53" s="104" t="s">
        <v>230</v>
      </c>
      <c r="BH53" s="130"/>
      <c r="BJ53" s="81" t="s">
        <v>60</v>
      </c>
      <c r="BK53" s="81" t="s">
        <v>61</v>
      </c>
      <c r="BL53" s="81" t="s">
        <v>62</v>
      </c>
      <c r="BM53" s="81" t="s">
        <v>63</v>
      </c>
      <c r="BP53" s="104" t="s">
        <v>241</v>
      </c>
      <c r="BR53" s="104" t="s">
        <v>82</v>
      </c>
      <c r="BS53" s="104" t="s">
        <v>230</v>
      </c>
      <c r="BU53" s="130"/>
      <c r="BW53" s="81" t="s">
        <v>60</v>
      </c>
      <c r="BX53" s="81" t="s">
        <v>61</v>
      </c>
      <c r="BY53" s="81" t="s">
        <v>62</v>
      </c>
      <c r="BZ53" s="81" t="s">
        <v>63</v>
      </c>
      <c r="CC53" s="104" t="s">
        <v>241</v>
      </c>
      <c r="CE53" s="104" t="s">
        <v>82</v>
      </c>
      <c r="CF53" s="104" t="s">
        <v>230</v>
      </c>
      <c r="CG53" s="116"/>
    </row>
    <row r="54" spans="2:85">
      <c r="B54" s="75" t="s">
        <v>60</v>
      </c>
      <c r="C54" s="86">
        <f>((($A$17-1)*C44)+(($A$17-1)*I44))/($A$17+$A$17-2)</f>
        <v>0.30688888888888882</v>
      </c>
      <c r="D54" s="86">
        <f>((($A$17-1)*D44)+(($A$17-1)*J44))/($A$17+$A$17-2)</f>
        <v>0.13188888888888889</v>
      </c>
      <c r="E54" s="86">
        <f>((($A$17-1)*E44)+(($A$17-1)*K44))/($A$17+$A$17-2)</f>
        <v>0.1711111111111111</v>
      </c>
      <c r="F54" s="86">
        <f>((($A$17-1)*F44)+(($A$17-1)*L44))/($A$17+$A$17-2)</f>
        <v>4.4333333333333329E-2</v>
      </c>
      <c r="H54" s="75" t="s">
        <v>60</v>
      </c>
      <c r="I54" s="86">
        <f t="shared" ref="I54:L57" si="62">((($A$17-1)*C44)+(($A$17-1)*O44))/($A$17+$A$17-2)</f>
        <v>0.36583333333333323</v>
      </c>
      <c r="J54" s="86">
        <f t="shared" si="62"/>
        <v>0.10477777777777776</v>
      </c>
      <c r="K54" s="86">
        <f t="shared" si="62"/>
        <v>0.23949999999999994</v>
      </c>
      <c r="L54" s="86">
        <f t="shared" si="62"/>
        <v>4.7777777777777787E-2</v>
      </c>
      <c r="N54" s="75" t="s">
        <v>60</v>
      </c>
      <c r="O54" s="86">
        <f t="shared" ref="O54:R57" si="63">((($A$17-1)*I44)+(($A$17-1)*O44))/($A$17+$A$17-2)</f>
        <v>0.5878333333333331</v>
      </c>
      <c r="P54" s="86">
        <f t="shared" si="63"/>
        <v>0.16622222222222222</v>
      </c>
      <c r="Q54" s="86">
        <f t="shared" si="63"/>
        <v>0.39172222222222219</v>
      </c>
      <c r="R54" s="86">
        <f t="shared" si="63"/>
        <v>8.344444444444446E-2</v>
      </c>
      <c r="S54" s="81"/>
      <c r="U54" s="75">
        <v>5</v>
      </c>
      <c r="V54" s="108">
        <f t="shared" si="61"/>
        <v>0.13690000000000035</v>
      </c>
      <c r="W54" s="108">
        <f t="shared" si="50"/>
        <v>0.10239999999999987</v>
      </c>
      <c r="X54" s="108">
        <f t="shared" si="51"/>
        <v>0.13690000000000035</v>
      </c>
      <c r="Z54" s="108">
        <f t="shared" si="52"/>
        <v>-1.7266666666666802E-2</v>
      </c>
      <c r="AA54" s="108">
        <f t="shared" si="53"/>
        <v>6.5066666666666675E-2</v>
      </c>
      <c r="AB54" s="108">
        <f t="shared" si="54"/>
        <v>7.5233333333333485E-2</v>
      </c>
      <c r="AD54" s="108">
        <f t="shared" si="55"/>
        <v>9.9900000000000155E-2</v>
      </c>
      <c r="AE54" s="108">
        <f t="shared" si="56"/>
        <v>7.0400000000000032E-2</v>
      </c>
      <c r="AF54" s="108">
        <f t="shared" si="57"/>
        <v>8.1400000000000208E-2</v>
      </c>
      <c r="AH54" s="108">
        <f t="shared" si="58"/>
        <v>4.933333333333341E-2</v>
      </c>
      <c r="AI54" s="108">
        <f t="shared" si="59"/>
        <v>1.0666666666666639E-2</v>
      </c>
      <c r="AJ54" s="108">
        <f t="shared" si="60"/>
        <v>-2.4666666666666757E-2</v>
      </c>
      <c r="AU54" s="130"/>
      <c r="AV54" s="75">
        <v>1</v>
      </c>
      <c r="AW54" s="108">
        <f t="shared" ref="AW54:AW63" si="64">N8-$B$23</f>
        <v>1.4400000000000004</v>
      </c>
      <c r="AX54" s="108">
        <f t="shared" ref="AX54:AX63" si="65">O8-$C$23</f>
        <v>-9.9999999999997868E-3</v>
      </c>
      <c r="AY54" s="108">
        <f t="shared" ref="AY54:AY63" si="66">Q8-$E$23</f>
        <v>4.55</v>
      </c>
      <c r="AZ54" s="108">
        <f t="shared" ref="AZ54:AZ63" si="67">R8-$F$23</f>
        <v>2.2799999999999998</v>
      </c>
      <c r="BC54" s="87">
        <f t="shared" ref="BC54:BC63" si="68">SQRT((AW54^2)+(AX54^2)+(AY54^2)+(AZ54^2))</f>
        <v>5.2891020031759641</v>
      </c>
      <c r="BD54" s="87"/>
      <c r="BE54" s="87">
        <f>MMULT(MMULT(AW54:AZ54,AP15:AS18),AW67:AW70)</f>
        <v>484.70632403032801</v>
      </c>
      <c r="BF54" s="108">
        <f>SQRT(BE54)</f>
        <v>22.016046966481699</v>
      </c>
      <c r="BH54" s="130"/>
      <c r="BI54" s="75">
        <v>1</v>
      </c>
      <c r="BJ54" s="108">
        <f t="shared" ref="BJ54:BJ63" si="69">N8-$H$23</f>
        <v>0.20000000000000018</v>
      </c>
      <c r="BK54" s="108">
        <f t="shared" ref="BK54:BK63" si="70">O8-$I$23</f>
        <v>0.42999999999999972</v>
      </c>
      <c r="BL54" s="108">
        <f t="shared" ref="BL54:BL63" si="71">Q8-$K$23</f>
        <v>1.63</v>
      </c>
      <c r="BM54" s="108">
        <f t="shared" ref="BM54:BM63" si="72">R8-$L$23</f>
        <v>1.1199999999999999</v>
      </c>
      <c r="BP54" s="108">
        <f t="shared" ref="BP54:BP63" si="73">SQRT((BJ54^2)+(BK54^2)+(BL54^2)+(BM54^2))</f>
        <v>2.0337649815059753</v>
      </c>
      <c r="BQ54" s="108"/>
      <c r="BR54" s="108">
        <f>MMULT(MMULT(BJ54:BM54,AP15:AS18),BJ67:BJ70)</f>
        <v>79.868949499072031</v>
      </c>
      <c r="BS54" s="108">
        <f>SQRT(BR54)</f>
        <v>8.9369429616100842</v>
      </c>
      <c r="BU54" s="130"/>
      <c r="BV54" s="75">
        <v>1</v>
      </c>
      <c r="BW54" s="108">
        <f t="shared" ref="BW54:BW63" si="74">N8-$N$23</f>
        <v>-0.27000000000000046</v>
      </c>
      <c r="BX54" s="108">
        <f t="shared" ref="BX54:BX63" si="75">O8-$O$23</f>
        <v>0.35999999999999988</v>
      </c>
      <c r="BY54" s="108">
        <f t="shared" ref="BY54:BY63" si="76">Q8-$Q$23</f>
        <v>0.23000000000000043</v>
      </c>
      <c r="BZ54" s="108">
        <f t="shared" ref="BZ54:BZ63" si="77">R8-$R$23</f>
        <v>0.45999999999999996</v>
      </c>
      <c r="CC54" s="86">
        <f t="shared" ref="CC54:CC63" si="78">SQRT((BW54^2)+(BX54^2)+(BY54^2)+(BZ54^2))</f>
        <v>0.68337398253079573</v>
      </c>
      <c r="CE54" s="86">
        <f>MMULT(MMULT(BW54:BZ54,AP15:AS18),BW67:BW70)</f>
        <v>9.3118129112870278</v>
      </c>
      <c r="CF54" s="108">
        <f>SQRT(CE54)</f>
        <v>3.0515263248556495</v>
      </c>
      <c r="CG54" s="116"/>
    </row>
    <row r="55" spans="2:85">
      <c r="B55" s="75" t="s">
        <v>61</v>
      </c>
      <c r="C55" s="86">
        <f>D54</f>
        <v>0.13188888888888889</v>
      </c>
      <c r="D55" s="86">
        <f>((($A$17-1)*D45)+(($A$17-1)*J45))/($A$17+$A$17-2)</f>
        <v>0.10500000000000001</v>
      </c>
      <c r="E55" s="86">
        <f>((($A$17-1)*E45)+(($A$17-1)*K45))/($A$17+$A$17-2)</f>
        <v>7.4777777777777804E-2</v>
      </c>
      <c r="F55" s="86">
        <f>((($A$17-1)*F45)+(($A$17-1)*L45))/($A$17+$A$17-2)</f>
        <v>2.9555555555555543E-2</v>
      </c>
      <c r="H55" s="75" t="s">
        <v>61</v>
      </c>
      <c r="I55" s="86">
        <f t="shared" si="62"/>
        <v>0.10477777777777776</v>
      </c>
      <c r="J55" s="86">
        <f t="shared" si="62"/>
        <v>0.10405555555555555</v>
      </c>
      <c r="K55" s="86">
        <f t="shared" si="62"/>
        <v>6.7055555555555549E-2</v>
      </c>
      <c r="L55" s="86">
        <f t="shared" si="62"/>
        <v>5.2333333333333329E-2</v>
      </c>
      <c r="N55" s="75" t="s">
        <v>61</v>
      </c>
      <c r="O55" s="86">
        <f t="shared" si="63"/>
        <v>0.16622222222222222</v>
      </c>
      <c r="P55" s="86">
        <f t="shared" si="63"/>
        <v>0.11472222222222224</v>
      </c>
      <c r="Q55" s="86">
        <f t="shared" si="63"/>
        <v>0.12461111111111113</v>
      </c>
      <c r="R55" s="86">
        <f t="shared" si="63"/>
        <v>6.5444444444444444E-2</v>
      </c>
      <c r="U55" s="75">
        <v>6</v>
      </c>
      <c r="V55" s="108">
        <f t="shared" si="61"/>
        <v>8.9999999999999163E-4</v>
      </c>
      <c r="W55" s="108">
        <f t="shared" si="50"/>
        <v>3.2399999999999755E-2</v>
      </c>
      <c r="X55" s="108">
        <f t="shared" si="51"/>
        <v>0.28089999999999982</v>
      </c>
      <c r="Z55" s="108">
        <f t="shared" si="52"/>
        <v>1.0399999999999954E-2</v>
      </c>
      <c r="AA55" s="108">
        <f t="shared" si="53"/>
        <v>-3.659999999999989E-2</v>
      </c>
      <c r="AB55" s="108">
        <f t="shared" si="54"/>
        <v>-0.10776666666666671</v>
      </c>
      <c r="AD55" s="108">
        <f t="shared" si="55"/>
        <v>8.9999999999999499E-4</v>
      </c>
      <c r="AE55" s="108">
        <f t="shared" si="56"/>
        <v>-3.9599999999999899E-2</v>
      </c>
      <c r="AF55" s="108">
        <f t="shared" si="57"/>
        <v>0.25439999999999985</v>
      </c>
      <c r="AH55" s="108">
        <f t="shared" si="58"/>
        <v>1.9999999999999901E-3</v>
      </c>
      <c r="AI55" s="108">
        <f t="shared" si="59"/>
        <v>-6.0000000000000062E-3</v>
      </c>
      <c r="AJ55" s="108">
        <f t="shared" si="60"/>
        <v>-1.7666666666666626E-2</v>
      </c>
      <c r="AU55" s="130"/>
      <c r="AV55" s="75">
        <v>2</v>
      </c>
      <c r="AW55" s="108">
        <f t="shared" si="64"/>
        <v>0.94000000000000039</v>
      </c>
      <c r="AX55" s="108">
        <f t="shared" si="65"/>
        <v>-0.60999999999999943</v>
      </c>
      <c r="AY55" s="108">
        <f t="shared" si="66"/>
        <v>3.6499999999999995</v>
      </c>
      <c r="AZ55" s="108">
        <f t="shared" si="67"/>
        <v>1.68</v>
      </c>
      <c r="BC55" s="87">
        <f t="shared" si="68"/>
        <v>4.1714026417980792</v>
      </c>
      <c r="BD55" s="87"/>
      <c r="BE55" s="87">
        <f>MMULT(MMULT(AW55:AZ55,AP15:AS18),AX67:AX70)</f>
        <v>360.10346032782888</v>
      </c>
      <c r="BF55" s="108">
        <f t="shared" ref="BF55:BF63" si="79">SQRT(BE55)</f>
        <v>18.976392184180554</v>
      </c>
      <c r="BH55" s="130"/>
      <c r="BI55" s="75">
        <v>2</v>
      </c>
      <c r="BJ55" s="108">
        <f t="shared" si="69"/>
        <v>-0.29999999999999982</v>
      </c>
      <c r="BK55" s="108">
        <f t="shared" si="70"/>
        <v>-0.16999999999999993</v>
      </c>
      <c r="BL55" s="108">
        <f t="shared" si="71"/>
        <v>0.72999999999999954</v>
      </c>
      <c r="BM55" s="108">
        <f t="shared" si="72"/>
        <v>0.5199999999999998</v>
      </c>
      <c r="BP55" s="108">
        <f t="shared" si="73"/>
        <v>0.96031244915391945</v>
      </c>
      <c r="BQ55" s="108"/>
      <c r="BR55" s="108">
        <f>MMULT(MMULT(BJ55:BM55,AP15:AS18),BK67:BK70)</f>
        <v>31.322934331469391</v>
      </c>
      <c r="BS55" s="108">
        <f t="shared" ref="BS55:BS63" si="80">SQRT(BR55)</f>
        <v>5.5966895868423316</v>
      </c>
      <c r="BU55" s="130"/>
      <c r="BV55" s="75">
        <v>2</v>
      </c>
      <c r="BW55" s="108">
        <f t="shared" si="74"/>
        <v>-0.77000000000000046</v>
      </c>
      <c r="BX55" s="108">
        <f t="shared" si="75"/>
        <v>-0.23999999999999977</v>
      </c>
      <c r="BY55" s="108">
        <f t="shared" si="76"/>
        <v>-0.66999999999999993</v>
      </c>
      <c r="BZ55" s="108">
        <f t="shared" si="77"/>
        <v>-0.14000000000000012</v>
      </c>
      <c r="CC55" s="86">
        <f t="shared" si="78"/>
        <v>1.0578279633286316</v>
      </c>
      <c r="CE55" s="86">
        <f>MMULT(MMULT(BW55:BZ55,AP15:AS18),BX67:BX70)</f>
        <v>2.4756622899124796</v>
      </c>
      <c r="CF55" s="108">
        <f t="shared" ref="CF55:CF63" si="81">SQRT(CE55)</f>
        <v>1.5734237477273818</v>
      </c>
      <c r="CG55" s="116"/>
    </row>
    <row r="56" spans="2:85">
      <c r="B56" s="75" t="s">
        <v>62</v>
      </c>
      <c r="C56" s="86">
        <f>E54</f>
        <v>0.1711111111111111</v>
      </c>
      <c r="D56" s="86">
        <f>E55</f>
        <v>7.4777777777777804E-2</v>
      </c>
      <c r="E56" s="86">
        <f>((($A$17-1)*E46)+(($A$17-1)*K46))/($A$17+$A$17-2)</f>
        <v>0.12477777777777782</v>
      </c>
      <c r="F56" s="86">
        <f>((($A$17-1)*F46)+(($A$17-1)*L46))/($A$17+$A$17-2)</f>
        <v>3.4666666666666686E-2</v>
      </c>
      <c r="H56" s="75" t="s">
        <v>62</v>
      </c>
      <c r="I56" s="86">
        <f t="shared" si="62"/>
        <v>0.23949999999999994</v>
      </c>
      <c r="J56" s="86">
        <f t="shared" si="62"/>
        <v>6.7055555555555549E-2</v>
      </c>
      <c r="K56" s="86">
        <f t="shared" si="62"/>
        <v>0.18588888888888888</v>
      </c>
      <c r="L56" s="86">
        <f t="shared" si="62"/>
        <v>4.4000000000000011E-2</v>
      </c>
      <c r="N56" s="75" t="s">
        <v>62</v>
      </c>
      <c r="O56" s="86">
        <f t="shared" si="63"/>
        <v>0.39172222222222219</v>
      </c>
      <c r="P56" s="86">
        <f t="shared" si="63"/>
        <v>0.12461111111111113</v>
      </c>
      <c r="Q56" s="86">
        <f t="shared" si="63"/>
        <v>0.2990000000000001</v>
      </c>
      <c r="R56" s="86">
        <f t="shared" si="63"/>
        <v>7.4222222222222245E-2</v>
      </c>
      <c r="S56" s="105"/>
      <c r="U56" s="75">
        <v>7</v>
      </c>
      <c r="V56" s="108">
        <f t="shared" si="61"/>
        <v>2.8899999999999804E-2</v>
      </c>
      <c r="W56" s="108">
        <f t="shared" si="50"/>
        <v>0.17640000000000028</v>
      </c>
      <c r="X56" s="108">
        <f t="shared" si="51"/>
        <v>1.5128999999999977</v>
      </c>
      <c r="Z56" s="108">
        <f t="shared" si="52"/>
        <v>2.6066666666666558E-2</v>
      </c>
      <c r="AA56" s="108">
        <f t="shared" si="53"/>
        <v>-8.2600000000000146E-2</v>
      </c>
      <c r="AB56" s="108">
        <f t="shared" si="54"/>
        <v>0.24190000000000009</v>
      </c>
      <c r="AD56" s="108">
        <f t="shared" si="55"/>
        <v>4.5899999999999858E-2</v>
      </c>
      <c r="AE56" s="108">
        <f t="shared" si="56"/>
        <v>5.0399999999999917E-2</v>
      </c>
      <c r="AF56" s="108">
        <f t="shared" si="57"/>
        <v>1.3283999999999985</v>
      </c>
      <c r="AH56" s="108">
        <f t="shared" si="58"/>
        <v>5.6666666666666558E-3</v>
      </c>
      <c r="AI56" s="108">
        <f t="shared" si="59"/>
        <v>-2.8000000000000084E-2</v>
      </c>
      <c r="AJ56" s="108">
        <f t="shared" si="60"/>
        <v>0.20499999999999988</v>
      </c>
      <c r="AU56" s="130"/>
      <c r="AV56" s="75">
        <v>3</v>
      </c>
      <c r="AW56" s="108">
        <f t="shared" si="64"/>
        <v>2.2400000000000002</v>
      </c>
      <c r="AX56" s="108">
        <f t="shared" si="65"/>
        <v>-0.30999999999999961</v>
      </c>
      <c r="AY56" s="108">
        <f t="shared" si="66"/>
        <v>4.45</v>
      </c>
      <c r="AZ56" s="108">
        <f t="shared" si="67"/>
        <v>1.8800000000000001</v>
      </c>
      <c r="BC56" s="87">
        <f t="shared" si="68"/>
        <v>5.3339103854489345</v>
      </c>
      <c r="BD56" s="87"/>
      <c r="BE56" s="87">
        <f>MMULT(MMULT(AW56:AZ56,AP15:AS18),AY67:AY70)</f>
        <v>380.16524140760112</v>
      </c>
      <c r="BF56" s="108">
        <f t="shared" si="79"/>
        <v>19.497826581637277</v>
      </c>
      <c r="BH56" s="130"/>
      <c r="BI56" s="75">
        <v>3</v>
      </c>
      <c r="BJ56" s="108">
        <f t="shared" si="69"/>
        <v>1</v>
      </c>
      <c r="BK56" s="108">
        <f t="shared" si="70"/>
        <v>0.12999999999999989</v>
      </c>
      <c r="BL56" s="108">
        <f t="shared" si="71"/>
        <v>1.5300000000000002</v>
      </c>
      <c r="BM56" s="108">
        <f t="shared" si="72"/>
        <v>0.72</v>
      </c>
      <c r="BP56" s="108">
        <f t="shared" si="73"/>
        <v>1.9688067452139635</v>
      </c>
      <c r="BQ56" s="108"/>
      <c r="BR56" s="108">
        <f>MMULT(MMULT(BJ56:BM56,AP15:AS18),BL67:BL70)</f>
        <v>36.433088942806293</v>
      </c>
      <c r="BS56" s="108">
        <f t="shared" si="80"/>
        <v>6.0359828481206188</v>
      </c>
      <c r="BU56" s="130"/>
      <c r="BV56" s="75">
        <v>3</v>
      </c>
      <c r="BW56" s="108">
        <f t="shared" si="74"/>
        <v>0.52999999999999936</v>
      </c>
      <c r="BX56" s="108">
        <f t="shared" si="75"/>
        <v>6.0000000000000053E-2</v>
      </c>
      <c r="BY56" s="108">
        <f t="shared" si="76"/>
        <v>0.13000000000000078</v>
      </c>
      <c r="BZ56" s="108">
        <f t="shared" si="77"/>
        <v>6.0000000000000053E-2</v>
      </c>
      <c r="CC56" s="86">
        <f t="shared" si="78"/>
        <v>0.55226805085936259</v>
      </c>
      <c r="CE56" s="86">
        <f>MMULT(MMULT(BW56:BZ56,AP15:AS18),BY67:BY70)</f>
        <v>3.06015444851114</v>
      </c>
      <c r="CF56" s="108">
        <f t="shared" si="81"/>
        <v>1.7493297140651158</v>
      </c>
      <c r="CG56" s="116"/>
    </row>
    <row r="57" spans="2:85">
      <c r="B57" s="75" t="s">
        <v>63</v>
      </c>
      <c r="C57" s="86">
        <f>F54</f>
        <v>4.4333333333333329E-2</v>
      </c>
      <c r="D57" s="86">
        <f>F55</f>
        <v>2.9555555555555543E-2</v>
      </c>
      <c r="E57" s="86">
        <f>F56</f>
        <v>3.4666666666666686E-2</v>
      </c>
      <c r="F57" s="86">
        <f>((($A$17-1)*F47)+(($A$17-1)*L47))/($A$17+$A$17-2)</f>
        <v>1.7333333333333333E-2</v>
      </c>
      <c r="H57" s="75" t="s">
        <v>63</v>
      </c>
      <c r="I57" s="86">
        <f t="shared" si="62"/>
        <v>4.7777777777777787E-2</v>
      </c>
      <c r="J57" s="86">
        <f t="shared" si="62"/>
        <v>5.2333333333333329E-2</v>
      </c>
      <c r="K57" s="86">
        <f t="shared" si="62"/>
        <v>4.4000000000000011E-2</v>
      </c>
      <c r="L57" s="86">
        <f t="shared" si="62"/>
        <v>4.5555555555555557E-2</v>
      </c>
      <c r="N57" s="75" t="s">
        <v>63</v>
      </c>
      <c r="O57" s="86">
        <f t="shared" si="63"/>
        <v>8.344444444444446E-2</v>
      </c>
      <c r="P57" s="86">
        <f t="shared" si="63"/>
        <v>6.5444444444444444E-2</v>
      </c>
      <c r="Q57" s="86">
        <f t="shared" si="63"/>
        <v>7.4222222222222245E-2</v>
      </c>
      <c r="R57" s="86">
        <f t="shared" si="63"/>
        <v>5.6666666666666671E-2</v>
      </c>
      <c r="S57" s="105"/>
      <c r="U57" s="75">
        <v>8</v>
      </c>
      <c r="V57" s="108">
        <f t="shared" si="61"/>
        <v>0.13690000000000035</v>
      </c>
      <c r="W57" s="108">
        <f t="shared" si="50"/>
        <v>0.96039999999999826</v>
      </c>
      <c r="X57" s="108">
        <f t="shared" si="51"/>
        <v>5.2900000000000016E-2</v>
      </c>
      <c r="Z57" s="108">
        <f t="shared" si="52"/>
        <v>5.6733333333333365E-2</v>
      </c>
      <c r="AA57" s="108">
        <f t="shared" si="53"/>
        <v>0.19273333333333292</v>
      </c>
      <c r="AB57" s="108">
        <f t="shared" si="54"/>
        <v>-4.6766666666666602E-2</v>
      </c>
      <c r="AD57" s="108">
        <f t="shared" si="55"/>
        <v>6.2900000000000081E-2</v>
      </c>
      <c r="AE57" s="108">
        <f t="shared" si="56"/>
        <v>0.96039999999999914</v>
      </c>
      <c r="AF57" s="108">
        <f t="shared" si="57"/>
        <v>4.1400000000000034E-2</v>
      </c>
      <c r="AH57" s="108">
        <f t="shared" si="58"/>
        <v>4.933333333333341E-2</v>
      </c>
      <c r="AI57" s="108">
        <f t="shared" si="59"/>
        <v>0.26133333333333297</v>
      </c>
      <c r="AJ57" s="108">
        <f t="shared" si="60"/>
        <v>1.533333333333332E-2</v>
      </c>
      <c r="AU57" s="130"/>
      <c r="AV57" s="75">
        <v>4</v>
      </c>
      <c r="AW57" s="108">
        <f t="shared" si="64"/>
        <v>1.4400000000000004</v>
      </c>
      <c r="AX57" s="108">
        <f t="shared" si="65"/>
        <v>-0.4099999999999997</v>
      </c>
      <c r="AY57" s="108">
        <f t="shared" si="66"/>
        <v>4.1499999999999995</v>
      </c>
      <c r="AZ57" s="108">
        <f t="shared" si="67"/>
        <v>1.58</v>
      </c>
      <c r="BC57" s="87">
        <f t="shared" si="68"/>
        <v>4.6862138235466801</v>
      </c>
      <c r="BD57" s="87"/>
      <c r="BE57" s="87">
        <f>MMULT(MMULT(AW57:AZ57,AP15:AS18),AZ67:AZ70)</f>
        <v>369.22812799011308</v>
      </c>
      <c r="BF57" s="108">
        <f t="shared" si="79"/>
        <v>19.215309729226668</v>
      </c>
      <c r="BH57" s="130"/>
      <c r="BI57" s="75">
        <v>4</v>
      </c>
      <c r="BJ57" s="108">
        <f t="shared" si="69"/>
        <v>0.20000000000000018</v>
      </c>
      <c r="BK57" s="108">
        <f t="shared" si="70"/>
        <v>2.9999999999999805E-2</v>
      </c>
      <c r="BL57" s="108">
        <f t="shared" si="71"/>
        <v>1.2299999999999995</v>
      </c>
      <c r="BM57" s="108">
        <f t="shared" si="72"/>
        <v>0.41999999999999993</v>
      </c>
      <c r="BP57" s="108">
        <f t="shared" si="73"/>
        <v>1.315370670191486</v>
      </c>
      <c r="BQ57" s="108"/>
      <c r="BR57" s="108">
        <f>MMULT(MMULT(BJ57:BM57,AP15:AS18),BM67:BM70)</f>
        <v>37.273735990510751</v>
      </c>
      <c r="BS57" s="108">
        <f t="shared" si="80"/>
        <v>6.1052220263075405</v>
      </c>
      <c r="BU57" s="130"/>
      <c r="BV57" s="75">
        <v>4</v>
      </c>
      <c r="BW57" s="108">
        <f t="shared" si="74"/>
        <v>-0.27000000000000046</v>
      </c>
      <c r="BX57" s="108">
        <f t="shared" si="75"/>
        <v>-4.0000000000000036E-2</v>
      </c>
      <c r="BY57" s="108">
        <f t="shared" si="76"/>
        <v>-0.16999999999999993</v>
      </c>
      <c r="BZ57" s="108">
        <f t="shared" si="77"/>
        <v>-0.24</v>
      </c>
      <c r="CC57" s="86">
        <f t="shared" si="78"/>
        <v>0.40124805295477789</v>
      </c>
      <c r="CE57" s="86">
        <f>MMULT(MMULT(BW57:BZ57,AP15:AS18),BZ67:BZ70)</f>
        <v>4.068470252750835</v>
      </c>
      <c r="CF57" s="108">
        <f t="shared" si="81"/>
        <v>2.017044930771458</v>
      </c>
      <c r="CG57" s="116"/>
    </row>
    <row r="58" spans="2:85">
      <c r="S58" s="105"/>
      <c r="U58" s="75">
        <v>9</v>
      </c>
      <c r="V58" s="108">
        <f t="shared" si="61"/>
        <v>8.9999999999999163E-4</v>
      </c>
      <c r="W58" s="108">
        <f t="shared" si="50"/>
        <v>4.8400000000000061E-2</v>
      </c>
      <c r="X58" s="108">
        <f t="shared" si="51"/>
        <v>0.13689999999999972</v>
      </c>
      <c r="Z58" s="108">
        <f t="shared" si="52"/>
        <v>4.3999999999999777E-3</v>
      </c>
      <c r="AA58" s="108">
        <f t="shared" si="53"/>
        <v>4.4733333333333299E-2</v>
      </c>
      <c r="AB58" s="108">
        <f t="shared" si="54"/>
        <v>-7.2766666666666674E-2</v>
      </c>
      <c r="AD58" s="108">
        <f t="shared" si="55"/>
        <v>-8.0999999999999649E-3</v>
      </c>
      <c r="AE58" s="108">
        <f t="shared" si="56"/>
        <v>4.8400000000000089E-2</v>
      </c>
      <c r="AF58" s="108">
        <f t="shared" si="57"/>
        <v>8.14E-2</v>
      </c>
      <c r="AH58" s="108">
        <f t="shared" si="58"/>
        <v>-3.9999999999999819E-3</v>
      </c>
      <c r="AI58" s="108">
        <f t="shared" si="59"/>
        <v>7.3333333333333731E-3</v>
      </c>
      <c r="AJ58" s="108">
        <f t="shared" si="60"/>
        <v>-2.4666666666666615E-2</v>
      </c>
      <c r="AU58" s="130"/>
      <c r="AV58" s="75">
        <v>5</v>
      </c>
      <c r="AW58" s="108">
        <f t="shared" si="64"/>
        <v>1.6400000000000006</v>
      </c>
      <c r="AX58" s="108">
        <f t="shared" si="65"/>
        <v>-0.30999999999999961</v>
      </c>
      <c r="AY58" s="108">
        <f t="shared" si="66"/>
        <v>4.3499999999999996</v>
      </c>
      <c r="AZ58" s="108">
        <f t="shared" si="67"/>
        <v>1.9800000000000002</v>
      </c>
      <c r="BC58" s="87">
        <f t="shared" si="68"/>
        <v>5.0624697529960612</v>
      </c>
      <c r="BD58" s="87"/>
      <c r="BE58" s="87">
        <f>MMULT(MMULT(AW58:AZ58,AP15:AS18),BA67:BA70)</f>
        <v>421.43367437607463</v>
      </c>
      <c r="BF58" s="108">
        <f t="shared" si="79"/>
        <v>20.528849806457121</v>
      </c>
      <c r="BH58" s="130"/>
      <c r="BI58" s="75">
        <v>5</v>
      </c>
      <c r="BJ58" s="108">
        <f t="shared" si="69"/>
        <v>0.40000000000000036</v>
      </c>
      <c r="BK58" s="108">
        <f t="shared" si="70"/>
        <v>0.12999999999999989</v>
      </c>
      <c r="BL58" s="108">
        <f t="shared" si="71"/>
        <v>1.4299999999999997</v>
      </c>
      <c r="BM58" s="108">
        <f t="shared" si="72"/>
        <v>0.82000000000000006</v>
      </c>
      <c r="BP58" s="108">
        <f t="shared" si="73"/>
        <v>1.7012348456341939</v>
      </c>
      <c r="BQ58" s="108"/>
      <c r="BR58" s="108">
        <f>MMULT(MMULT(BJ58:BM58,AP15:AS18),BN67:BN70)</f>
        <v>50.755710132918537</v>
      </c>
      <c r="BS58" s="108">
        <f t="shared" si="80"/>
        <v>7.1243041858779819</v>
      </c>
      <c r="BU58" s="130"/>
      <c r="BV58" s="75">
        <v>5</v>
      </c>
      <c r="BW58" s="108">
        <f t="shared" si="74"/>
        <v>-7.0000000000000284E-2</v>
      </c>
      <c r="BX58" s="108">
        <f t="shared" si="75"/>
        <v>6.0000000000000053E-2</v>
      </c>
      <c r="BY58" s="108">
        <f t="shared" si="76"/>
        <v>3.0000000000000249E-2</v>
      </c>
      <c r="BZ58" s="108">
        <f t="shared" si="77"/>
        <v>0.16000000000000014</v>
      </c>
      <c r="CC58" s="86">
        <f t="shared" si="78"/>
        <v>0.18708286933869736</v>
      </c>
      <c r="CE58" s="86">
        <f>MMULT(MMULT(BW58:BZ58,AP15:AS18),CA67:CA70)</f>
        <v>1.1191500062912685</v>
      </c>
      <c r="CF58" s="108">
        <f t="shared" si="81"/>
        <v>1.0578988639238009</v>
      </c>
      <c r="CG58" s="116"/>
    </row>
    <row r="59" spans="2:85">
      <c r="S59" s="105"/>
      <c r="U59" s="75">
        <v>10</v>
      </c>
      <c r="V59" s="108">
        <f t="shared" si="61"/>
        <v>0.22090000000000012</v>
      </c>
      <c r="W59" s="108">
        <f t="shared" si="50"/>
        <v>0.46239999999999903</v>
      </c>
      <c r="X59" s="108">
        <f t="shared" si="51"/>
        <v>1.6900000000000102E-2</v>
      </c>
      <c r="Z59" s="108">
        <f t="shared" si="52"/>
        <v>2.5066666666666782E-2</v>
      </c>
      <c r="AA59" s="108">
        <f t="shared" si="53"/>
        <v>-7.0266666666666935E-2</v>
      </c>
      <c r="AB59" s="108">
        <f t="shared" si="54"/>
        <v>5.1566666666666816E-2</v>
      </c>
      <c r="AD59" s="108">
        <f t="shared" si="55"/>
        <v>7.9900000000000013E-2</v>
      </c>
      <c r="AE59" s="108">
        <f t="shared" si="56"/>
        <v>0.25839999999999963</v>
      </c>
      <c r="AF59" s="108">
        <f t="shared" si="57"/>
        <v>-2.6000000000000172E-3</v>
      </c>
      <c r="AH59" s="108">
        <f t="shared" si="58"/>
        <v>1.5666666666666679E-2</v>
      </c>
      <c r="AI59" s="108">
        <f t="shared" si="59"/>
        <v>-9.066666666666659E-2</v>
      </c>
      <c r="AJ59" s="108">
        <f t="shared" si="60"/>
        <v>4.7666666666666808E-2</v>
      </c>
      <c r="AU59" s="130"/>
      <c r="AV59" s="75">
        <v>6</v>
      </c>
      <c r="AW59" s="108">
        <f t="shared" si="64"/>
        <v>2.74</v>
      </c>
      <c r="AX59" s="108">
        <f t="shared" si="65"/>
        <v>-0.30999999999999961</v>
      </c>
      <c r="AY59" s="108">
        <f t="shared" si="66"/>
        <v>5.1499999999999995</v>
      </c>
      <c r="AZ59" s="108">
        <f t="shared" si="67"/>
        <v>1.8800000000000001</v>
      </c>
      <c r="BC59" s="87">
        <f t="shared" si="68"/>
        <v>6.1368232824483382</v>
      </c>
      <c r="BD59" s="87"/>
      <c r="BE59" s="87">
        <f>MMULT(MMULT(AW59:AZ59,AP15:AS18),BB67:BB70)</f>
        <v>451.25899104970802</v>
      </c>
      <c r="BF59" s="108">
        <f t="shared" si="79"/>
        <v>21.242857412544765</v>
      </c>
      <c r="BH59" s="130"/>
      <c r="BI59" s="75">
        <v>6</v>
      </c>
      <c r="BJ59" s="108">
        <f t="shared" si="69"/>
        <v>1.5</v>
      </c>
      <c r="BK59" s="108">
        <f t="shared" si="70"/>
        <v>0.12999999999999989</v>
      </c>
      <c r="BL59" s="108">
        <f t="shared" si="71"/>
        <v>2.2299999999999995</v>
      </c>
      <c r="BM59" s="108">
        <f t="shared" si="72"/>
        <v>0.72</v>
      </c>
      <c r="BP59" s="108">
        <f t="shared" si="73"/>
        <v>2.7853545555278951</v>
      </c>
      <c r="BQ59" s="108"/>
      <c r="BR59" s="108">
        <f>MMULT(MMULT(BJ59:BM59,AP15:AS18),BO67:BO70)</f>
        <v>61.131137547912068</v>
      </c>
      <c r="BS59" s="108">
        <f t="shared" si="80"/>
        <v>7.8186403899854655</v>
      </c>
      <c r="BU59" s="130"/>
      <c r="BV59" s="75">
        <v>6</v>
      </c>
      <c r="BW59" s="108">
        <f t="shared" si="74"/>
        <v>1.0299999999999994</v>
      </c>
      <c r="BX59" s="108">
        <f t="shared" si="75"/>
        <v>6.0000000000000053E-2</v>
      </c>
      <c r="BY59" s="108">
        <f t="shared" si="76"/>
        <v>0.83000000000000007</v>
      </c>
      <c r="BZ59" s="108">
        <f t="shared" si="77"/>
        <v>6.0000000000000053E-2</v>
      </c>
      <c r="CC59" s="86">
        <f t="shared" si="78"/>
        <v>1.3255187663703591</v>
      </c>
      <c r="CE59" s="86">
        <f>MMULT(MMULT(BW59:BZ59,AP15:AS18),CB67:CB70)</f>
        <v>4.7761880242156147</v>
      </c>
      <c r="CF59" s="108">
        <f t="shared" si="81"/>
        <v>2.1854491584604787</v>
      </c>
      <c r="CG59" s="116"/>
    </row>
    <row r="60" spans="2:85">
      <c r="B60" s="75" t="s">
        <v>383</v>
      </c>
      <c r="S60" s="105"/>
      <c r="AU60" s="130"/>
      <c r="AV60" s="75">
        <v>7</v>
      </c>
      <c r="AW60" s="108">
        <f t="shared" si="64"/>
        <v>4.0000000000000924E-2</v>
      </c>
      <c r="AX60" s="108">
        <f t="shared" si="65"/>
        <v>-0.80999999999999961</v>
      </c>
      <c r="AY60" s="108">
        <f t="shared" si="66"/>
        <v>3.05</v>
      </c>
      <c r="AZ60" s="108">
        <f t="shared" si="67"/>
        <v>1.48</v>
      </c>
      <c r="BC60" s="87">
        <f t="shared" si="68"/>
        <v>3.4857710768207366</v>
      </c>
      <c r="BD60" s="87"/>
      <c r="BE60" s="87">
        <f>MMULT(MMULT(AW60:AZ60,AP15:AS18),BC67:BC70)</f>
        <v>337.29653499334768</v>
      </c>
      <c r="BF60" s="108">
        <f t="shared" si="79"/>
        <v>18.365634619945691</v>
      </c>
      <c r="BH60" s="130"/>
      <c r="BI60" s="75">
        <v>7</v>
      </c>
      <c r="BJ60" s="108">
        <f t="shared" si="69"/>
        <v>-1.1999999999999993</v>
      </c>
      <c r="BK60" s="108">
        <f t="shared" si="70"/>
        <v>-0.37000000000000011</v>
      </c>
      <c r="BL60" s="108">
        <f t="shared" si="71"/>
        <v>0.12999999999999989</v>
      </c>
      <c r="BM60" s="108">
        <f t="shared" si="72"/>
        <v>0.31999999999999984</v>
      </c>
      <c r="BP60" s="108">
        <f t="shared" si="73"/>
        <v>1.302382432313949</v>
      </c>
      <c r="BQ60" s="108"/>
      <c r="BR60" s="108">
        <f>MMULT(MMULT(BJ60:BM60,AP15:AS18),BP67:BP70)</f>
        <v>29.464517433399987</v>
      </c>
      <c r="BS60" s="108">
        <f t="shared" si="80"/>
        <v>5.4281228277738878</v>
      </c>
      <c r="BU60" s="130"/>
      <c r="BV60" s="75">
        <v>7</v>
      </c>
      <c r="BW60" s="108">
        <f t="shared" si="74"/>
        <v>-1.67</v>
      </c>
      <c r="BX60" s="108">
        <f t="shared" si="75"/>
        <v>-0.43999999999999995</v>
      </c>
      <c r="BY60" s="108">
        <f t="shared" si="76"/>
        <v>-1.2699999999999996</v>
      </c>
      <c r="BZ60" s="108">
        <f t="shared" si="77"/>
        <v>-0.34000000000000008</v>
      </c>
      <c r="CC60" s="86">
        <f t="shared" si="78"/>
        <v>2.1704838170325065</v>
      </c>
      <c r="CE60" s="86">
        <f>MMULT(MMULT(BW60:BZ60,AP15:AS18),CC67:CC70)</f>
        <v>8.5487013910580103</v>
      </c>
      <c r="CF60" s="108">
        <f t="shared" si="81"/>
        <v>2.9238162375665833</v>
      </c>
      <c r="CG60" s="116"/>
    </row>
    <row r="61" spans="2:85">
      <c r="S61" s="105"/>
      <c r="U61" s="101" t="s">
        <v>185</v>
      </c>
      <c r="V61" s="108">
        <f>SUM(V50:X59)</f>
        <v>5.367999999999995</v>
      </c>
      <c r="Z61" s="108">
        <f>SUM(Z50:AB59)</f>
        <v>0.50299999999999945</v>
      </c>
      <c r="AD61" s="108">
        <f>SUM(AD50:AF59)</f>
        <v>4.0479999999999974</v>
      </c>
      <c r="AH61" s="108">
        <f>SUM(AH50:AJ59)</f>
        <v>0.5199999999999998</v>
      </c>
      <c r="AU61" s="130"/>
      <c r="AV61" s="75">
        <v>8</v>
      </c>
      <c r="AW61" s="108">
        <f t="shared" si="64"/>
        <v>2.4400000000000004</v>
      </c>
      <c r="AX61" s="108">
        <f t="shared" si="65"/>
        <v>-0.4099999999999997</v>
      </c>
      <c r="AY61" s="108">
        <f t="shared" si="66"/>
        <v>4.8499999999999996</v>
      </c>
      <c r="AZ61" s="108">
        <f t="shared" si="67"/>
        <v>1.58</v>
      </c>
      <c r="BC61" s="87">
        <f t="shared" si="68"/>
        <v>5.6692680303545355</v>
      </c>
      <c r="BD61" s="87"/>
      <c r="BE61" s="87">
        <f>MMULT(MMULT(AW61:AZ61,AP15:AS18),BD67:BD70)</f>
        <v>403.06831131081549</v>
      </c>
      <c r="BF61" s="108">
        <f t="shared" si="79"/>
        <v>20.076561242175302</v>
      </c>
      <c r="BH61" s="130"/>
      <c r="BI61" s="75">
        <v>8</v>
      </c>
      <c r="BJ61" s="108">
        <f t="shared" si="69"/>
        <v>1.2000000000000002</v>
      </c>
      <c r="BK61" s="108">
        <f t="shared" si="70"/>
        <v>2.9999999999999805E-2</v>
      </c>
      <c r="BL61" s="108">
        <f t="shared" si="71"/>
        <v>1.9299999999999997</v>
      </c>
      <c r="BM61" s="108">
        <f t="shared" si="72"/>
        <v>0.41999999999999993</v>
      </c>
      <c r="BP61" s="108">
        <f t="shared" si="73"/>
        <v>2.3113199691950914</v>
      </c>
      <c r="BQ61" s="108"/>
      <c r="BR61" s="108">
        <f>MMULT(MMULT(BJ61:BM61,AP15:AS18),BQ67:BQ70)</f>
        <v>48.114574783966049</v>
      </c>
      <c r="BS61" s="108">
        <f t="shared" si="80"/>
        <v>6.9364670246434565</v>
      </c>
      <c r="BU61" s="130"/>
      <c r="BV61" s="75">
        <v>8</v>
      </c>
      <c r="BW61" s="108">
        <f t="shared" si="74"/>
        <v>0.72999999999999954</v>
      </c>
      <c r="BX61" s="108">
        <f t="shared" si="75"/>
        <v>-4.0000000000000036E-2</v>
      </c>
      <c r="BY61" s="108">
        <f t="shared" si="76"/>
        <v>0.53000000000000025</v>
      </c>
      <c r="BZ61" s="108">
        <f t="shared" si="77"/>
        <v>-0.24</v>
      </c>
      <c r="CC61" s="86">
        <f t="shared" si="78"/>
        <v>0.93434469014384602</v>
      </c>
      <c r="CE61" s="86">
        <f>MMULT(MMULT(BW61:BZ61,AP15:AS18),CD67:CD70)</f>
        <v>7.167964250965106</v>
      </c>
      <c r="CF61" s="108">
        <f t="shared" si="81"/>
        <v>2.6773054086086456</v>
      </c>
      <c r="CG61" s="116"/>
    </row>
    <row r="62" spans="2:85">
      <c r="B62" s="80" t="s">
        <v>202</v>
      </c>
      <c r="C62" s="85"/>
      <c r="D62" s="85"/>
      <c r="E62" s="85"/>
      <c r="F62" s="85"/>
      <c r="H62" s="80" t="s">
        <v>203</v>
      </c>
      <c r="I62" s="85"/>
      <c r="J62" s="85"/>
      <c r="K62" s="85"/>
      <c r="L62" s="85"/>
      <c r="N62" s="80" t="s">
        <v>204</v>
      </c>
      <c r="O62" s="85"/>
      <c r="P62" s="85"/>
      <c r="Q62" s="85"/>
      <c r="R62" s="85"/>
      <c r="S62" s="105"/>
      <c r="AU62" s="130"/>
      <c r="AV62" s="75">
        <v>9</v>
      </c>
      <c r="AW62" s="108">
        <f t="shared" si="64"/>
        <v>1.8400000000000007</v>
      </c>
      <c r="AX62" s="108">
        <f t="shared" si="65"/>
        <v>-0.80999999999999961</v>
      </c>
      <c r="AY62" s="108">
        <f t="shared" si="66"/>
        <v>4.3499999999999996</v>
      </c>
      <c r="AZ62" s="108">
        <f t="shared" si="67"/>
        <v>1.58</v>
      </c>
      <c r="BC62" s="87">
        <f t="shared" si="68"/>
        <v>5.045849779769509</v>
      </c>
      <c r="BD62" s="87"/>
      <c r="BE62" s="87">
        <f>MMULT(MMULT(AW62:AZ62,AP15:AS18),BE67:BE70)</f>
        <v>406.19942368799479</v>
      </c>
      <c r="BF62" s="108">
        <f t="shared" si="79"/>
        <v>20.154389687807338</v>
      </c>
      <c r="BH62" s="130"/>
      <c r="BI62" s="75">
        <v>9</v>
      </c>
      <c r="BJ62" s="108">
        <f t="shared" si="69"/>
        <v>0.60000000000000053</v>
      </c>
      <c r="BK62" s="108">
        <f t="shared" si="70"/>
        <v>-0.37000000000000011</v>
      </c>
      <c r="BL62" s="108">
        <f t="shared" si="71"/>
        <v>1.4299999999999997</v>
      </c>
      <c r="BM62" s="108">
        <f t="shared" si="72"/>
        <v>0.41999999999999993</v>
      </c>
      <c r="BP62" s="108">
        <f t="shared" si="73"/>
        <v>1.6486964547787444</v>
      </c>
      <c r="BQ62" s="108"/>
      <c r="BR62" s="108">
        <f>MMULT(MMULT(BJ62:BM62,AP15:AS18),BR67:BR70)</f>
        <v>44.139990502994721</v>
      </c>
      <c r="BS62" s="108">
        <f t="shared" si="80"/>
        <v>6.6437933820216539</v>
      </c>
      <c r="BU62" s="130"/>
      <c r="BV62" s="75">
        <v>9</v>
      </c>
      <c r="BW62" s="108">
        <f t="shared" si="74"/>
        <v>0.12999999999999989</v>
      </c>
      <c r="BX62" s="108">
        <f t="shared" si="75"/>
        <v>-0.43999999999999995</v>
      </c>
      <c r="BY62" s="108">
        <f t="shared" si="76"/>
        <v>3.0000000000000249E-2</v>
      </c>
      <c r="BZ62" s="108">
        <f t="shared" si="77"/>
        <v>-0.24</v>
      </c>
      <c r="CC62" s="86">
        <f t="shared" si="78"/>
        <v>0.51865209919559752</v>
      </c>
      <c r="CE62" s="86">
        <f>MMULT(MMULT(BW62:BZ62,AP15:AS18),CE67:CE70)</f>
        <v>3.6703954251668574</v>
      </c>
      <c r="CF62" s="108">
        <f t="shared" si="81"/>
        <v>1.9158276084154486</v>
      </c>
      <c r="CG62" s="116"/>
    </row>
    <row r="63" spans="2:85">
      <c r="C63" s="75" t="s">
        <v>60</v>
      </c>
      <c r="D63" s="75" t="s">
        <v>61</v>
      </c>
      <c r="E63" s="75" t="s">
        <v>62</v>
      </c>
      <c r="F63" s="75" t="s">
        <v>63</v>
      </c>
      <c r="I63" s="75" t="s">
        <v>60</v>
      </c>
      <c r="J63" s="75" t="s">
        <v>61</v>
      </c>
      <c r="K63" s="75" t="s">
        <v>62</v>
      </c>
      <c r="L63" s="75" t="s">
        <v>63</v>
      </c>
      <c r="O63" s="75" t="s">
        <v>60</v>
      </c>
      <c r="P63" s="75" t="s">
        <v>61</v>
      </c>
      <c r="Q63" s="75" t="s">
        <v>62</v>
      </c>
      <c r="R63" s="75" t="s">
        <v>63</v>
      </c>
      <c r="S63" s="105"/>
      <c r="AU63" s="130"/>
      <c r="AV63" s="75">
        <v>10</v>
      </c>
      <c r="AW63" s="108">
        <f t="shared" si="64"/>
        <v>2.3400000000000007</v>
      </c>
      <c r="AX63" s="108">
        <f t="shared" si="65"/>
        <v>0.29000000000000048</v>
      </c>
      <c r="AY63" s="108">
        <f t="shared" si="66"/>
        <v>4.6499999999999995</v>
      </c>
      <c r="AZ63" s="108">
        <f t="shared" si="67"/>
        <v>2.2799999999999998</v>
      </c>
      <c r="BC63" s="87">
        <f t="shared" si="68"/>
        <v>5.6903954168405555</v>
      </c>
      <c r="BD63" s="87"/>
      <c r="BE63" s="87">
        <f>MMULT(MMULT(AW63:AZ63,AP15:AS18),BF67:BF70)</f>
        <v>400.5304053452993</v>
      </c>
      <c r="BF63" s="108">
        <f t="shared" si="79"/>
        <v>20.013255740765903</v>
      </c>
      <c r="BH63" s="130"/>
      <c r="BI63" s="75">
        <v>10</v>
      </c>
      <c r="BJ63" s="108">
        <f t="shared" si="69"/>
        <v>1.1000000000000005</v>
      </c>
      <c r="BK63" s="108">
        <f t="shared" si="70"/>
        <v>0.73</v>
      </c>
      <c r="BL63" s="108">
        <f t="shared" si="71"/>
        <v>1.7299999999999995</v>
      </c>
      <c r="BM63" s="108">
        <f t="shared" si="72"/>
        <v>1.1199999999999999</v>
      </c>
      <c r="BP63" s="108">
        <f t="shared" si="73"/>
        <v>2.4474885086553519</v>
      </c>
      <c r="BQ63" s="108"/>
      <c r="BR63" s="108">
        <f>MMULT(MMULT(BJ63:BM63,AP15:AS18),BS67:BS70)</f>
        <v>49.497332488374454</v>
      </c>
      <c r="BS63" s="108">
        <f t="shared" si="80"/>
        <v>7.0354340653846261</v>
      </c>
      <c r="BU63" s="130"/>
      <c r="BV63" s="75">
        <v>10</v>
      </c>
      <c r="BW63" s="108">
        <f t="shared" si="74"/>
        <v>0.62999999999999989</v>
      </c>
      <c r="BX63" s="108">
        <f t="shared" si="75"/>
        <v>0.66000000000000014</v>
      </c>
      <c r="BY63" s="108">
        <f t="shared" si="76"/>
        <v>0.33000000000000007</v>
      </c>
      <c r="BZ63" s="108">
        <f t="shared" si="77"/>
        <v>0.45999999999999996</v>
      </c>
      <c r="CC63" s="86">
        <f t="shared" si="78"/>
        <v>1.0737783756436894</v>
      </c>
      <c r="CE63" s="86">
        <f>MMULT(MMULT(BW63:BZ63,AP15:AS18),CF67:CF70)</f>
        <v>7.3150924449246286</v>
      </c>
      <c r="CF63" s="108">
        <f t="shared" si="81"/>
        <v>2.7046427573571763</v>
      </c>
      <c r="CG63" s="116"/>
    </row>
    <row r="64" spans="2:85">
      <c r="B64" s="75" t="s">
        <v>60</v>
      </c>
      <c r="C64" s="87">
        <f t="array" ref="C64:F67">MINVERSE(C54:F57)</f>
        <v>20.32380069322776</v>
      </c>
      <c r="D64" s="87">
        <v>-13.36592883181336</v>
      </c>
      <c r="E64" s="87">
        <v>-26.444216731641905</v>
      </c>
      <c r="F64" s="87">
        <v>23.697027006004841</v>
      </c>
      <c r="H64" s="75" t="s">
        <v>60</v>
      </c>
      <c r="I64" s="87">
        <f t="array" ref="I64:L67">MINVERSE(I54:L57)</f>
        <v>27.145125608924943</v>
      </c>
      <c r="J64" s="87">
        <v>-17.842645222959984</v>
      </c>
      <c r="K64" s="87">
        <v>-34.549099796055714</v>
      </c>
      <c r="L64" s="87">
        <v>25.397379042474356</v>
      </c>
      <c r="N64" s="75" t="s">
        <v>60</v>
      </c>
      <c r="O64" s="87">
        <f t="array" ref="O64:R67">MINVERSE(O54:R57)</f>
        <v>16.090708794148991</v>
      </c>
      <c r="P64" s="87">
        <v>-7.839458492018716</v>
      </c>
      <c r="Q64" s="87">
        <v>-21.010397384861108</v>
      </c>
      <c r="R64" s="87">
        <v>12.878949412706575</v>
      </c>
      <c r="S64" s="105"/>
      <c r="U64" s="75">
        <v>1</v>
      </c>
      <c r="V64" s="108">
        <f t="shared" ref="V64:V73" si="82">(W11-$W$23)*(W11-$W$23)</f>
        <v>2.844444444444422E-3</v>
      </c>
      <c r="W64" s="108">
        <f t="shared" ref="W64:W73" si="83">(AC11-$W$23)*(AC11-$W$23)</f>
        <v>9.3444444444445544E-3</v>
      </c>
      <c r="X64" s="108">
        <f t="shared" ref="X64:X73" si="84">(AI11-$W$23)*(AI11-$W$23)</f>
        <v>9.3444444444443827E-3</v>
      </c>
      <c r="Z64" s="108">
        <f t="shared" ref="Z64:Z73" si="85">(W11-$W$23)*(Y11-$Y$23)</f>
        <v>1.4399999999999948E-2</v>
      </c>
      <c r="AA64" s="108">
        <f t="shared" ref="AA64:AA73" si="86">(AC11-$W$23)*(AE11-$Y$23)</f>
        <v>-1.1600000000000041E-2</v>
      </c>
      <c r="AB64" s="108">
        <f t="shared" ref="AB64:AB73" si="87">(AI11-$W$23)*(AK11-$Y$23)</f>
        <v>-1.1599999999999935E-2</v>
      </c>
      <c r="AD64" s="108">
        <f t="shared" ref="AD64:AD73" si="88">(W11-$W$23)*(Z11-$Z$23)</f>
        <v>7.1111111111110846E-3</v>
      </c>
      <c r="AE64" s="108">
        <f t="shared" ref="AE64:AE73" si="89">(AC11-$W$23)*(AF11-$Z$23)</f>
        <v>-1.2888888888888967E-2</v>
      </c>
      <c r="AF64" s="108">
        <f t="shared" ref="AF64:AF73" si="90">(AI11-$W$23)*(AL11-$Z$23)</f>
        <v>3.5444444444444327E-2</v>
      </c>
      <c r="AU64" s="130"/>
      <c r="BH64" s="130"/>
      <c r="BU64" s="130"/>
      <c r="CG64" s="116"/>
    </row>
    <row r="65" spans="2:85">
      <c r="B65" s="75" t="s">
        <v>61</v>
      </c>
      <c r="C65" s="87">
        <v>-13.36592883181337</v>
      </c>
      <c r="D65" s="87">
        <v>28.719486971507404</v>
      </c>
      <c r="E65" s="87">
        <v>11.759662385216371</v>
      </c>
      <c r="F65" s="87">
        <v>-38.303798684070138</v>
      </c>
      <c r="H65" s="75" t="s">
        <v>61</v>
      </c>
      <c r="I65" s="87">
        <v>-17.842645222959977</v>
      </c>
      <c r="J65" s="87">
        <v>35.517617239339877</v>
      </c>
      <c r="K65" s="87">
        <v>19.970334513636054</v>
      </c>
      <c r="L65" s="87">
        <v>-41.377348149405286</v>
      </c>
      <c r="N65" s="75" t="s">
        <v>61</v>
      </c>
      <c r="O65" s="87">
        <v>-7.8394584920187027</v>
      </c>
      <c r="P65" s="87">
        <v>35.420665351308294</v>
      </c>
      <c r="Q65" s="87">
        <v>4.1455289426853241</v>
      </c>
      <c r="R65" s="87">
        <v>-34.7932390159379</v>
      </c>
      <c r="S65" s="105"/>
      <c r="U65" s="75">
        <v>2</v>
      </c>
      <c r="V65" s="108">
        <f t="shared" si="82"/>
        <v>2.1777777777777642E-3</v>
      </c>
      <c r="W65" s="108">
        <f t="shared" si="83"/>
        <v>9.3444444444445544E-3</v>
      </c>
      <c r="X65" s="108">
        <f t="shared" si="84"/>
        <v>1.1111111111110885E-5</v>
      </c>
      <c r="Z65" s="108">
        <f t="shared" si="85"/>
        <v>-1.2599999999999965E-2</v>
      </c>
      <c r="AA65" s="108">
        <f t="shared" si="86"/>
        <v>-2.1266666666666816E-2</v>
      </c>
      <c r="AB65" s="108">
        <f t="shared" si="87"/>
        <v>-1.5999999999999834E-3</v>
      </c>
      <c r="AD65" s="108">
        <f t="shared" si="88"/>
        <v>-6.2222222222222045E-3</v>
      </c>
      <c r="AE65" s="108">
        <f t="shared" si="89"/>
        <v>-3.2222222222222353E-3</v>
      </c>
      <c r="AF65" s="108">
        <f t="shared" si="90"/>
        <v>1.1111111111110976E-4</v>
      </c>
      <c r="AU65" s="130"/>
      <c r="AV65" s="75" t="s">
        <v>453</v>
      </c>
      <c r="BH65" s="130"/>
      <c r="BI65" s="75" t="s">
        <v>453</v>
      </c>
      <c r="BU65" s="130"/>
      <c r="BV65" s="75" t="s">
        <v>453</v>
      </c>
      <c r="CG65" s="116"/>
    </row>
    <row r="66" spans="2:85">
      <c r="B66" s="75" t="s">
        <v>62</v>
      </c>
      <c r="C66" s="87">
        <v>-26.444216731641902</v>
      </c>
      <c r="D66" s="87">
        <v>11.759662385216354</v>
      </c>
      <c r="E66" s="87">
        <v>54.035062963051679</v>
      </c>
      <c r="F66" s="87">
        <v>-60.485688224452325</v>
      </c>
      <c r="H66" s="75" t="s">
        <v>62</v>
      </c>
      <c r="I66" s="87">
        <v>-34.549099796055707</v>
      </c>
      <c r="J66" s="87">
        <v>19.970334513636054</v>
      </c>
      <c r="K66" s="87">
        <v>51.261819133031167</v>
      </c>
      <c r="L66" s="87">
        <v>-36.21852443975358</v>
      </c>
      <c r="N66" s="75" t="s">
        <v>62</v>
      </c>
      <c r="O66" s="87">
        <v>-21.010397384861115</v>
      </c>
      <c r="P66" s="87">
        <v>4.1455289426853401</v>
      </c>
      <c r="Q66" s="87">
        <v>33.56401922135845</v>
      </c>
      <c r="R66" s="87">
        <v>-17.811123433487094</v>
      </c>
      <c r="S66" s="108"/>
      <c r="U66" s="75">
        <v>3</v>
      </c>
      <c r="V66" s="108">
        <f t="shared" si="82"/>
        <v>2.3511111111111208E-2</v>
      </c>
      <c r="W66" s="108">
        <f t="shared" si="83"/>
        <v>1.1111111111107923E-5</v>
      </c>
      <c r="X66" s="108">
        <f t="shared" si="84"/>
        <v>4.1344444444444503E-2</v>
      </c>
      <c r="Z66" s="108">
        <f t="shared" si="85"/>
        <v>2.6066666666666752E-2</v>
      </c>
      <c r="AA66" s="108">
        <f t="shared" si="86"/>
        <v>-2.6666666666662992E-4</v>
      </c>
      <c r="AB66" s="108">
        <f t="shared" si="87"/>
        <v>4.4733333333333236E-2</v>
      </c>
      <c r="AD66" s="108">
        <f t="shared" si="88"/>
        <v>2.0444444444444491E-2</v>
      </c>
      <c r="AE66" s="108">
        <f t="shared" si="89"/>
        <v>1.1111111111109496E-4</v>
      </c>
      <c r="AF66" s="108">
        <f t="shared" si="90"/>
        <v>6.7777777777777697E-3</v>
      </c>
      <c r="AU66" s="130"/>
      <c r="AW66" s="75">
        <v>1</v>
      </c>
      <c r="AX66" s="75">
        <v>2</v>
      </c>
      <c r="AY66" s="75">
        <v>3</v>
      </c>
      <c r="AZ66" s="75">
        <v>4</v>
      </c>
      <c r="BA66" s="75">
        <v>5</v>
      </c>
      <c r="BB66" s="75">
        <v>6</v>
      </c>
      <c r="BC66" s="75">
        <v>7</v>
      </c>
      <c r="BD66" s="75">
        <v>8</v>
      </c>
      <c r="BE66" s="75">
        <v>9</v>
      </c>
      <c r="BF66" s="75">
        <v>10</v>
      </c>
      <c r="BH66" s="130"/>
      <c r="BJ66" s="75">
        <v>1</v>
      </c>
      <c r="BK66" s="75">
        <v>2</v>
      </c>
      <c r="BL66" s="75">
        <v>3</v>
      </c>
      <c r="BM66" s="75">
        <v>4</v>
      </c>
      <c r="BN66" s="75">
        <v>5</v>
      </c>
      <c r="BO66" s="75">
        <v>6</v>
      </c>
      <c r="BP66" s="75">
        <v>7</v>
      </c>
      <c r="BQ66" s="75">
        <v>8</v>
      </c>
      <c r="BR66" s="75">
        <v>9</v>
      </c>
      <c r="BS66" s="75">
        <v>10</v>
      </c>
      <c r="BU66" s="130"/>
      <c r="BW66" s="75">
        <v>1</v>
      </c>
      <c r="BX66" s="75">
        <v>2</v>
      </c>
      <c r="BY66" s="75">
        <v>3</v>
      </c>
      <c r="BZ66" s="75">
        <v>4</v>
      </c>
      <c r="CA66" s="75">
        <v>5</v>
      </c>
      <c r="CB66" s="75">
        <v>6</v>
      </c>
      <c r="CC66" s="75">
        <v>7</v>
      </c>
      <c r="CD66" s="75">
        <v>8</v>
      </c>
      <c r="CE66" s="75">
        <v>9</v>
      </c>
      <c r="CF66" s="75">
        <v>10</v>
      </c>
      <c r="CG66" s="116"/>
    </row>
    <row r="67" spans="2:85">
      <c r="B67" s="75" t="s">
        <v>63</v>
      </c>
      <c r="C67" s="87">
        <v>23.697027006004856</v>
      </c>
      <c r="D67" s="87">
        <v>-38.303798684070138</v>
      </c>
      <c r="E67" s="87">
        <v>-60.485688224452346</v>
      </c>
      <c r="F67" s="87">
        <v>183.36686795253755</v>
      </c>
      <c r="H67" s="75" t="s">
        <v>63</v>
      </c>
      <c r="I67" s="87">
        <v>25.397379042474356</v>
      </c>
      <c r="J67" s="87">
        <v>-41.377348149405286</v>
      </c>
      <c r="K67" s="87">
        <v>-36.21852443975358</v>
      </c>
      <c r="L67" s="87">
        <v>77.830228459142276</v>
      </c>
      <c r="N67" s="75" t="s">
        <v>63</v>
      </c>
      <c r="O67" s="87">
        <v>12.878949412706568</v>
      </c>
      <c r="P67" s="87">
        <v>-34.793239015937907</v>
      </c>
      <c r="Q67" s="87">
        <v>-17.811123433487079</v>
      </c>
      <c r="R67" s="87">
        <v>62.194033774537573</v>
      </c>
      <c r="S67" s="108"/>
      <c r="U67" s="75">
        <v>4</v>
      </c>
      <c r="V67" s="108">
        <f t="shared" si="82"/>
        <v>2.8444444444444693E-3</v>
      </c>
      <c r="W67" s="108">
        <f t="shared" si="83"/>
        <v>8.8011111111111026E-2</v>
      </c>
      <c r="X67" s="108">
        <f t="shared" si="84"/>
        <v>4.1344444444444323E-2</v>
      </c>
      <c r="Z67" s="108">
        <f t="shared" si="85"/>
        <v>9.0666666666667055E-3</v>
      </c>
      <c r="AA67" s="108">
        <f t="shared" si="86"/>
        <v>8.3066666666666553E-2</v>
      </c>
      <c r="AB67" s="108">
        <f t="shared" si="87"/>
        <v>4.0666666666666759E-3</v>
      </c>
      <c r="AD67" s="108">
        <f t="shared" si="88"/>
        <v>7.1111111111111435E-3</v>
      </c>
      <c r="AE67" s="108">
        <f t="shared" si="89"/>
        <v>-9.8888888888889314E-3</v>
      </c>
      <c r="AF67" s="108">
        <f t="shared" si="90"/>
        <v>-1.355555555555552E-2</v>
      </c>
      <c r="AU67" s="130"/>
      <c r="AV67" s="106" t="s">
        <v>60</v>
      </c>
      <c r="AW67" s="75">
        <v>1.44</v>
      </c>
      <c r="AX67" s="75">
        <v>0.94</v>
      </c>
      <c r="AY67" s="75">
        <v>2.2400000000000002</v>
      </c>
      <c r="AZ67" s="75">
        <v>1.44</v>
      </c>
      <c r="BA67" s="75">
        <v>1.64</v>
      </c>
      <c r="BB67" s="75">
        <v>2.74</v>
      </c>
      <c r="BC67" s="75">
        <v>4.0000000000000924E-2</v>
      </c>
      <c r="BD67" s="75">
        <v>2.44</v>
      </c>
      <c r="BE67" s="75">
        <v>1.84</v>
      </c>
      <c r="BF67" s="75">
        <v>2.34</v>
      </c>
      <c r="BH67" s="130"/>
      <c r="BI67" s="106" t="s">
        <v>60</v>
      </c>
      <c r="BJ67" s="108">
        <v>0.2</v>
      </c>
      <c r="BK67" s="108">
        <v>-0.3</v>
      </c>
      <c r="BL67" s="108">
        <v>1</v>
      </c>
      <c r="BM67" s="108">
        <v>0.2</v>
      </c>
      <c r="BN67" s="108">
        <v>0.4</v>
      </c>
      <c r="BO67" s="108">
        <v>1.5</v>
      </c>
      <c r="BP67" s="108">
        <v>-1.2</v>
      </c>
      <c r="BQ67" s="108">
        <v>1.2</v>
      </c>
      <c r="BR67" s="108">
        <v>0.60000000000000053</v>
      </c>
      <c r="BS67" s="108">
        <v>1.1000000000000001</v>
      </c>
      <c r="BT67" s="108"/>
      <c r="BU67" s="130"/>
      <c r="BV67" s="106" t="s">
        <v>60</v>
      </c>
      <c r="BW67" s="108">
        <v>-0.27</v>
      </c>
      <c r="BX67" s="108">
        <v>-0.77</v>
      </c>
      <c r="BY67" s="108">
        <v>0.52999999999999936</v>
      </c>
      <c r="BZ67" s="108">
        <v>-0.27</v>
      </c>
      <c r="CA67" s="108">
        <v>-7.0000000000000284E-2</v>
      </c>
      <c r="CB67" s="108">
        <v>1.03</v>
      </c>
      <c r="CC67" s="108">
        <v>-1.67</v>
      </c>
      <c r="CD67" s="108">
        <v>0.73</v>
      </c>
      <c r="CE67" s="108">
        <v>0.13</v>
      </c>
      <c r="CF67" s="108">
        <v>0.63</v>
      </c>
      <c r="CG67" s="116"/>
    </row>
    <row r="68" spans="2:85">
      <c r="U68" s="75">
        <v>5</v>
      </c>
      <c r="V68" s="108">
        <f t="shared" si="82"/>
        <v>2.1777777777778058E-3</v>
      </c>
      <c r="W68" s="108">
        <f t="shared" si="83"/>
        <v>4.1344444444444503E-2</v>
      </c>
      <c r="X68" s="108">
        <f t="shared" si="84"/>
        <v>4.1344444444444503E-2</v>
      </c>
      <c r="Z68" s="108">
        <f t="shared" si="85"/>
        <v>-1.2600000000000085E-2</v>
      </c>
      <c r="AA68" s="108">
        <f t="shared" si="86"/>
        <v>4.4733333333333417E-2</v>
      </c>
      <c r="AB68" s="108">
        <f t="shared" si="87"/>
        <v>4.4733333333333417E-2</v>
      </c>
      <c r="AD68" s="108">
        <f t="shared" si="88"/>
        <v>-6.2222222222222635E-3</v>
      </c>
      <c r="AE68" s="108">
        <f t="shared" si="89"/>
        <v>6.7777777777777697E-3</v>
      </c>
      <c r="AF68" s="108">
        <f t="shared" si="90"/>
        <v>-1.3555555555555597E-2</v>
      </c>
      <c r="AU68" s="130"/>
      <c r="AV68" s="106" t="s">
        <v>61</v>
      </c>
      <c r="AW68" s="75">
        <v>-9.9999999999997868E-3</v>
      </c>
      <c r="AX68" s="75">
        <v>-0.60999999999999943</v>
      </c>
      <c r="AY68" s="75">
        <v>-0.31</v>
      </c>
      <c r="AZ68" s="75">
        <v>-0.41</v>
      </c>
      <c r="BA68" s="75">
        <v>-0.31</v>
      </c>
      <c r="BB68" s="75">
        <v>-0.31</v>
      </c>
      <c r="BC68" s="75">
        <v>-0.81</v>
      </c>
      <c r="BD68" s="75">
        <v>-0.41</v>
      </c>
      <c r="BE68" s="75">
        <v>-0.81</v>
      </c>
      <c r="BF68" s="75">
        <v>0.28999999999999998</v>
      </c>
      <c r="BH68" s="130"/>
      <c r="BI68" s="106" t="s">
        <v>61</v>
      </c>
      <c r="BJ68" s="108">
        <v>0.43</v>
      </c>
      <c r="BK68" s="108">
        <v>-0.17</v>
      </c>
      <c r="BL68" s="108">
        <v>0.13</v>
      </c>
      <c r="BM68" s="108">
        <v>2.9999999999999805E-2</v>
      </c>
      <c r="BN68" s="108">
        <v>0.13</v>
      </c>
      <c r="BO68" s="108">
        <v>0.13</v>
      </c>
      <c r="BP68" s="108">
        <v>-0.37</v>
      </c>
      <c r="BQ68" s="108">
        <v>2.9999999999999805E-2</v>
      </c>
      <c r="BR68" s="108">
        <v>-0.37</v>
      </c>
      <c r="BS68" s="108">
        <v>0.73</v>
      </c>
      <c r="BT68" s="108"/>
      <c r="BU68" s="130"/>
      <c r="BV68" s="106" t="s">
        <v>61</v>
      </c>
      <c r="BW68" s="108">
        <v>0.36</v>
      </c>
      <c r="BX68" s="108">
        <v>-0.24</v>
      </c>
      <c r="BY68" s="108">
        <v>6.0000000000000053E-2</v>
      </c>
      <c r="BZ68" s="108">
        <v>-0.04</v>
      </c>
      <c r="CA68" s="108">
        <v>6.0000000000000053E-2</v>
      </c>
      <c r="CB68" s="108">
        <v>6.0000000000000053E-2</v>
      </c>
      <c r="CC68" s="108">
        <v>-0.44</v>
      </c>
      <c r="CD68" s="108">
        <v>-0.04</v>
      </c>
      <c r="CE68" s="108">
        <v>-0.44</v>
      </c>
      <c r="CF68" s="108">
        <v>0.66</v>
      </c>
      <c r="CG68" s="116"/>
    </row>
    <row r="69" spans="2:85">
      <c r="U69" s="75">
        <v>6</v>
      </c>
      <c r="V69" s="108">
        <f t="shared" si="82"/>
        <v>0.12017777777777787</v>
      </c>
      <c r="W69" s="108">
        <f t="shared" si="83"/>
        <v>4.1344444444444503E-2</v>
      </c>
      <c r="X69" s="108">
        <f t="shared" si="84"/>
        <v>4.1344444444444503E-2</v>
      </c>
      <c r="Z69" s="108">
        <f t="shared" si="85"/>
        <v>1.0399999999999994E-2</v>
      </c>
      <c r="AA69" s="108">
        <f t="shared" si="86"/>
        <v>4.4733333333333417E-2</v>
      </c>
      <c r="AB69" s="108">
        <f t="shared" si="87"/>
        <v>-9.7600000000000048E-2</v>
      </c>
      <c r="AD69" s="108">
        <f t="shared" si="88"/>
        <v>2.3111111111111114E-2</v>
      </c>
      <c r="AE69" s="108">
        <f t="shared" si="89"/>
        <v>6.7777777777778148E-3</v>
      </c>
      <c r="AF69" s="108">
        <f t="shared" si="90"/>
        <v>6.7777777777777697E-3</v>
      </c>
      <c r="AU69" s="130"/>
      <c r="AV69" s="106" t="s">
        <v>62</v>
      </c>
      <c r="AW69" s="75">
        <v>4.55</v>
      </c>
      <c r="AX69" s="75">
        <v>3.65</v>
      </c>
      <c r="AY69" s="75">
        <v>4.45</v>
      </c>
      <c r="AZ69" s="75">
        <v>4.1500000000000004</v>
      </c>
      <c r="BA69" s="75">
        <v>4.3499999999999996</v>
      </c>
      <c r="BB69" s="75">
        <v>5.15</v>
      </c>
      <c r="BC69" s="75">
        <v>3.05</v>
      </c>
      <c r="BD69" s="75">
        <v>4.8499999999999996</v>
      </c>
      <c r="BE69" s="75">
        <v>4.3499999999999996</v>
      </c>
      <c r="BF69" s="75">
        <v>4.6500000000000004</v>
      </c>
      <c r="BH69" s="130"/>
      <c r="BI69" s="106" t="s">
        <v>62</v>
      </c>
      <c r="BJ69" s="108">
        <v>1.63</v>
      </c>
      <c r="BK69" s="108">
        <v>0.73</v>
      </c>
      <c r="BL69" s="108">
        <v>1.53</v>
      </c>
      <c r="BM69" s="108">
        <v>1.23</v>
      </c>
      <c r="BN69" s="108">
        <v>1.43</v>
      </c>
      <c r="BO69" s="108">
        <v>2.23</v>
      </c>
      <c r="BP69" s="108">
        <v>0.13</v>
      </c>
      <c r="BQ69" s="108">
        <v>1.93</v>
      </c>
      <c r="BR69" s="108">
        <v>1.43</v>
      </c>
      <c r="BS69" s="108">
        <v>1.73</v>
      </c>
      <c r="BT69" s="108"/>
      <c r="BU69" s="130"/>
      <c r="BV69" s="106" t="s">
        <v>62</v>
      </c>
      <c r="BW69" s="108">
        <v>0.23</v>
      </c>
      <c r="BX69" s="108">
        <v>-0.67</v>
      </c>
      <c r="BY69" s="108">
        <v>0.13000000000000078</v>
      </c>
      <c r="BZ69" s="108">
        <v>-0.17</v>
      </c>
      <c r="CA69" s="108">
        <v>3.0000000000000249E-2</v>
      </c>
      <c r="CB69" s="108">
        <v>0.83</v>
      </c>
      <c r="CC69" s="108">
        <v>-1.27</v>
      </c>
      <c r="CD69" s="108">
        <v>0.53</v>
      </c>
      <c r="CE69" s="108">
        <v>3.0000000000000249E-2</v>
      </c>
      <c r="CF69" s="108">
        <v>0.33</v>
      </c>
      <c r="CG69" s="116"/>
    </row>
    <row r="70" spans="2:85">
      <c r="B70" s="75" t="s">
        <v>216</v>
      </c>
      <c r="U70" s="75">
        <v>7</v>
      </c>
      <c r="V70" s="108">
        <f t="shared" si="82"/>
        <v>2.3511111111111073E-2</v>
      </c>
      <c r="W70" s="108">
        <f t="shared" si="83"/>
        <v>3.8677777777777859E-2</v>
      </c>
      <c r="X70" s="108">
        <f t="shared" si="84"/>
        <v>3.8677777777777859E-2</v>
      </c>
      <c r="Z70" s="108">
        <f t="shared" si="85"/>
        <v>4.1399999999999978E-2</v>
      </c>
      <c r="AA70" s="108">
        <f t="shared" si="86"/>
        <v>-2.3599999999999968E-2</v>
      </c>
      <c r="AB70" s="108">
        <f t="shared" si="87"/>
        <v>0.21240000000000014</v>
      </c>
      <c r="AD70" s="108">
        <f t="shared" si="88"/>
        <v>5.111111111111114E-3</v>
      </c>
      <c r="AE70" s="108">
        <f t="shared" si="89"/>
        <v>1.3111111111111155E-2</v>
      </c>
      <c r="AF70" s="108">
        <f t="shared" si="90"/>
        <v>3.2777777777777815E-2</v>
      </c>
      <c r="AU70" s="130"/>
      <c r="AV70" s="106" t="s">
        <v>63</v>
      </c>
      <c r="AW70" s="75">
        <v>2.2799999999999998</v>
      </c>
      <c r="AX70" s="75">
        <v>1.68</v>
      </c>
      <c r="AY70" s="75">
        <v>1.88</v>
      </c>
      <c r="AZ70" s="75">
        <v>1.58</v>
      </c>
      <c r="BA70" s="75">
        <v>1.98</v>
      </c>
      <c r="BB70" s="75">
        <v>1.88</v>
      </c>
      <c r="BC70" s="75">
        <v>1.48</v>
      </c>
      <c r="BD70" s="75">
        <v>1.58</v>
      </c>
      <c r="BE70" s="75">
        <v>1.58</v>
      </c>
      <c r="BF70" s="75">
        <v>2.2799999999999998</v>
      </c>
      <c r="BH70" s="130"/>
      <c r="BI70" s="106" t="s">
        <v>63</v>
      </c>
      <c r="BJ70" s="108">
        <v>1.1200000000000001</v>
      </c>
      <c r="BK70" s="108">
        <v>0.52</v>
      </c>
      <c r="BL70" s="108">
        <v>0.72</v>
      </c>
      <c r="BM70" s="108">
        <v>0.42</v>
      </c>
      <c r="BN70" s="108">
        <v>0.82</v>
      </c>
      <c r="BO70" s="108">
        <v>0.72</v>
      </c>
      <c r="BP70" s="108">
        <v>0.32</v>
      </c>
      <c r="BQ70" s="108">
        <v>0.42</v>
      </c>
      <c r="BR70" s="108">
        <v>0.42</v>
      </c>
      <c r="BS70" s="108">
        <v>1.1200000000000001</v>
      </c>
      <c r="BT70" s="108"/>
      <c r="BU70" s="130"/>
      <c r="BV70" s="106" t="s">
        <v>63</v>
      </c>
      <c r="BW70" s="108">
        <v>0.46</v>
      </c>
      <c r="BX70" s="108">
        <v>-0.14000000000000001</v>
      </c>
      <c r="BY70" s="108">
        <v>6.0000000000000053E-2</v>
      </c>
      <c r="BZ70" s="108">
        <v>-0.24</v>
      </c>
      <c r="CA70" s="108">
        <v>0.16</v>
      </c>
      <c r="CB70" s="108">
        <v>6.0000000000000053E-2</v>
      </c>
      <c r="CC70" s="108">
        <v>-0.34</v>
      </c>
      <c r="CD70" s="108">
        <v>-0.24</v>
      </c>
      <c r="CE70" s="108">
        <v>-0.24</v>
      </c>
      <c r="CF70" s="108">
        <v>0.46</v>
      </c>
      <c r="CG70" s="116"/>
    </row>
    <row r="71" spans="2:85">
      <c r="U71" s="75">
        <v>8</v>
      </c>
      <c r="V71" s="108">
        <f t="shared" si="82"/>
        <v>2.3511111111111073E-2</v>
      </c>
      <c r="W71" s="108">
        <f t="shared" si="83"/>
        <v>3.8677777777777686E-2</v>
      </c>
      <c r="X71" s="108">
        <f t="shared" si="84"/>
        <v>4.1344444444444323E-2</v>
      </c>
      <c r="Z71" s="108">
        <f t="shared" si="85"/>
        <v>2.6066666666666644E-2</v>
      </c>
      <c r="AA71" s="108">
        <f t="shared" si="86"/>
        <v>0.19273333333333309</v>
      </c>
      <c r="AB71" s="108">
        <f t="shared" si="87"/>
        <v>-3.6599999999999966E-2</v>
      </c>
      <c r="AD71" s="108">
        <f t="shared" si="88"/>
        <v>2.0444444444444432E-2</v>
      </c>
      <c r="AE71" s="108">
        <f t="shared" si="89"/>
        <v>5.2444444444444363E-2</v>
      </c>
      <c r="AF71" s="108">
        <f t="shared" si="90"/>
        <v>-1.355555555555552E-2</v>
      </c>
      <c r="AU71" s="131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131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131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132"/>
    </row>
    <row r="72" spans="2:85">
      <c r="B72" s="82" t="s">
        <v>212</v>
      </c>
      <c r="H72" s="82" t="s">
        <v>217</v>
      </c>
      <c r="N72" s="82" t="s">
        <v>213</v>
      </c>
      <c r="U72" s="75">
        <v>9</v>
      </c>
      <c r="V72" s="108">
        <f t="shared" si="82"/>
        <v>2.1511111111111095E-2</v>
      </c>
      <c r="W72" s="108">
        <f t="shared" si="83"/>
        <v>4.1344444444444323E-2</v>
      </c>
      <c r="X72" s="108">
        <f t="shared" si="84"/>
        <v>3.8677777777777859E-2</v>
      </c>
      <c r="Z72" s="108">
        <f t="shared" si="85"/>
        <v>-3.9599999999999996E-2</v>
      </c>
      <c r="AA72" s="108">
        <f t="shared" si="86"/>
        <v>4.4733333333333319E-2</v>
      </c>
      <c r="AB72" s="108">
        <f t="shared" si="87"/>
        <v>-4.3266666666666766E-2</v>
      </c>
      <c r="AD72" s="108">
        <f t="shared" si="88"/>
        <v>-1.9555555555555552E-2</v>
      </c>
      <c r="AE72" s="108">
        <f t="shared" si="89"/>
        <v>6.7777777777778001E-3</v>
      </c>
      <c r="AF72" s="108">
        <f t="shared" si="90"/>
        <v>1.3111111111111112E-2</v>
      </c>
    </row>
    <row r="73" spans="2:85">
      <c r="U73" s="75">
        <v>10</v>
      </c>
      <c r="V73" s="108">
        <f t="shared" si="82"/>
        <v>2.8444444444444693E-3</v>
      </c>
      <c r="W73" s="108">
        <f t="shared" si="83"/>
        <v>1.0677777777777881E-2</v>
      </c>
      <c r="X73" s="108">
        <f t="shared" si="84"/>
        <v>0.1573444444444444</v>
      </c>
      <c r="Z73" s="108">
        <f t="shared" si="85"/>
        <v>9.0666666666667055E-3</v>
      </c>
      <c r="AA73" s="108">
        <f t="shared" si="86"/>
        <v>-3.9266666666666838E-2</v>
      </c>
      <c r="AB73" s="108">
        <f t="shared" si="87"/>
        <v>-7.9333333333333617E-3</v>
      </c>
      <c r="AD73" s="108">
        <f t="shared" si="88"/>
        <v>1.7777777777777865E-3</v>
      </c>
      <c r="AE73" s="108">
        <f t="shared" si="89"/>
        <v>1.3777777777777847E-2</v>
      </c>
      <c r="AF73" s="108">
        <f t="shared" si="90"/>
        <v>0.1454444444444444</v>
      </c>
    </row>
    <row r="74" spans="2:85">
      <c r="B74" s="106" t="s">
        <v>87</v>
      </c>
      <c r="C74" s="75">
        <f>$A$17</f>
        <v>10</v>
      </c>
      <c r="H74" s="106" t="s">
        <v>87</v>
      </c>
      <c r="I74" s="75">
        <f>$A$17</f>
        <v>10</v>
      </c>
      <c r="N74" s="106" t="s">
        <v>87</v>
      </c>
      <c r="O74" s="75">
        <f>$A$17</f>
        <v>10</v>
      </c>
    </row>
    <row r="75" spans="2:85">
      <c r="B75" s="106" t="s">
        <v>88</v>
      </c>
      <c r="C75" s="75">
        <v>10</v>
      </c>
      <c r="H75" s="106" t="s">
        <v>88</v>
      </c>
      <c r="I75" s="75">
        <v>10</v>
      </c>
      <c r="N75" s="106" t="s">
        <v>88</v>
      </c>
      <c r="O75" s="75">
        <v>10</v>
      </c>
      <c r="U75" s="101" t="s">
        <v>185</v>
      </c>
      <c r="V75" s="108">
        <f>SUM(V64:X73)</f>
        <v>0.99466666666666681</v>
      </c>
      <c r="Z75" s="108">
        <f>SUM(Z64:AB73)</f>
        <v>0.49299999999999966</v>
      </c>
      <c r="AD75" s="108">
        <f>SUM(AD64:AF73)</f>
        <v>0.32666666666666655</v>
      </c>
    </row>
    <row r="76" spans="2:85">
      <c r="B76" s="106" t="s">
        <v>219</v>
      </c>
      <c r="C76" s="75">
        <v>4</v>
      </c>
      <c r="H76" s="106" t="s">
        <v>219</v>
      </c>
      <c r="I76" s="75">
        <v>4</v>
      </c>
      <c r="N76" s="106" t="s">
        <v>219</v>
      </c>
      <c r="O76" s="75">
        <v>4</v>
      </c>
    </row>
    <row r="78" spans="2:85">
      <c r="B78" s="106" t="s">
        <v>89</v>
      </c>
      <c r="C78" s="108">
        <f>MMULT(MMULT(C35:F35,C64:F67),J34:J37)</f>
        <v>972.88216103758361</v>
      </c>
      <c r="H78" s="106" t="s">
        <v>89</v>
      </c>
      <c r="I78" s="108">
        <f>MMULT(MMULT(C36:F36,I64:L67),K34:K37)</f>
        <v>391.28694908392237</v>
      </c>
      <c r="N78" s="106" t="s">
        <v>89</v>
      </c>
      <c r="O78" s="108">
        <f>MMULT(MMULT(C37:F37,O64:R67),L34:L37)</f>
        <v>41.112450789900656</v>
      </c>
      <c r="U78" s="75">
        <v>1</v>
      </c>
      <c r="V78" s="108">
        <f t="shared" ref="V78:V87" si="91">(Y11-$Y$23)*(Y11-$Y$23)</f>
        <v>7.2900000000000034E-2</v>
      </c>
      <c r="W78" s="108">
        <f t="shared" ref="W78:W87" si="92">(AE11-$Y$23)*(AE11-$Y$23)</f>
        <v>1.4399999999999932E-2</v>
      </c>
      <c r="X78" s="108">
        <f t="shared" ref="X78:X87" si="93">(AK11-$Y$23)*(AK11-$Y$23)</f>
        <v>1.4399999999999932E-2</v>
      </c>
      <c r="Z78" s="108">
        <f t="shared" ref="Z78:Z87" si="94">(Y11-$Y$23)*(Z11-$Z$23)</f>
        <v>3.6000000000000018E-2</v>
      </c>
      <c r="AA78" s="108">
        <f t="shared" ref="AA78:AA87" si="95">(AE11-$Y$23)*(AF11-$Z$23)</f>
        <v>1.5999999999999966E-2</v>
      </c>
      <c r="AB78" s="108">
        <f t="shared" ref="AB78:AB87" si="96">(AK11-$Y$23)*(AL11-$Z$23)</f>
        <v>-4.3999999999999893E-2</v>
      </c>
    </row>
    <row r="79" spans="2:85">
      <c r="U79" s="75">
        <v>2</v>
      </c>
      <c r="V79" s="108">
        <f t="shared" si="91"/>
        <v>7.2900000000000034E-2</v>
      </c>
      <c r="W79" s="108">
        <f t="shared" si="92"/>
        <v>4.840000000000011E-2</v>
      </c>
      <c r="X79" s="108">
        <f t="shared" si="93"/>
        <v>0.23039999999999994</v>
      </c>
      <c r="Z79" s="108">
        <f t="shared" si="94"/>
        <v>3.6000000000000018E-2</v>
      </c>
      <c r="AA79" s="108">
        <f t="shared" si="95"/>
        <v>7.333333333333328E-3</v>
      </c>
      <c r="AB79" s="108">
        <f t="shared" si="96"/>
        <v>-1.5999999999999966E-2</v>
      </c>
    </row>
    <row r="80" spans="2:85">
      <c r="B80" s="106" t="s">
        <v>218</v>
      </c>
      <c r="C80" s="75">
        <f>((C74*C75)*C78)/(C74+C75)</f>
        <v>4864.4108051879175</v>
      </c>
      <c r="H80" s="106" t="s">
        <v>218</v>
      </c>
      <c r="I80" s="87">
        <f>((I74*I75)*I78)/(I74+I75)</f>
        <v>1956.4347454196118</v>
      </c>
      <c r="N80" s="106" t="s">
        <v>218</v>
      </c>
      <c r="O80" s="87">
        <f>((O74*O75)*O78)/(O74+O75)</f>
        <v>205.56225394950329</v>
      </c>
      <c r="U80" s="75">
        <v>3</v>
      </c>
      <c r="V80" s="108">
        <f t="shared" si="91"/>
        <v>2.8900000000000071E-2</v>
      </c>
      <c r="W80" s="108">
        <f t="shared" si="92"/>
        <v>6.4000000000000732E-3</v>
      </c>
      <c r="X80" s="108">
        <f t="shared" si="93"/>
        <v>4.8399999999999721E-2</v>
      </c>
      <c r="Z80" s="108">
        <f t="shared" si="94"/>
        <v>2.26666666666667E-2</v>
      </c>
      <c r="AA80" s="108">
        <f t="shared" si="95"/>
        <v>-2.666666666666677E-3</v>
      </c>
      <c r="AB80" s="108">
        <f t="shared" si="96"/>
        <v>7.3333333333332985E-3</v>
      </c>
    </row>
    <row r="81" spans="2:28">
      <c r="B81" s="106" t="s">
        <v>361</v>
      </c>
      <c r="C81" s="75">
        <f>(((C74+C75)-(C76-1))*C80)/(((C74+C75)-2)*C76)</f>
        <v>1148.5414401138139</v>
      </c>
      <c r="H81" s="106" t="s">
        <v>361</v>
      </c>
      <c r="I81" s="87">
        <f>(((I74+I75)-(I76-1))*I80)/(((I74+I75)-2)*I76)</f>
        <v>461.9359815574083</v>
      </c>
      <c r="N81" s="106" t="s">
        <v>361</v>
      </c>
      <c r="O81" s="87">
        <f>(((O74+O75)-(O76-1))*O80)/(((O74+O75)-2)*O76)</f>
        <v>48.535532182521614</v>
      </c>
      <c r="U81" s="75">
        <v>4</v>
      </c>
      <c r="V81" s="108">
        <f t="shared" si="91"/>
        <v>2.8899999999999995E-2</v>
      </c>
      <c r="W81" s="108">
        <f t="shared" si="92"/>
        <v>7.8399999999999859E-2</v>
      </c>
      <c r="X81" s="108">
        <f t="shared" si="93"/>
        <v>4.0000000000000295E-4</v>
      </c>
      <c r="Z81" s="108">
        <f t="shared" si="94"/>
        <v>2.2666666666666668E-2</v>
      </c>
      <c r="AA81" s="108">
        <f t="shared" si="95"/>
        <v>-9.3333333333333688E-3</v>
      </c>
      <c r="AB81" s="108">
        <f t="shared" si="96"/>
        <v>-1.3333333333333368E-3</v>
      </c>
    </row>
    <row r="82" spans="2:28">
      <c r="B82" s="106" t="s">
        <v>91</v>
      </c>
      <c r="C82" s="75">
        <f>C76</f>
        <v>4</v>
      </c>
      <c r="H82" s="106" t="s">
        <v>91</v>
      </c>
      <c r="I82" s="75">
        <f>I76</f>
        <v>4</v>
      </c>
      <c r="N82" s="106" t="s">
        <v>91</v>
      </c>
      <c r="O82" s="75">
        <f>O76</f>
        <v>4</v>
      </c>
      <c r="U82" s="75">
        <v>5</v>
      </c>
      <c r="V82" s="108">
        <f t="shared" si="91"/>
        <v>7.2900000000000034E-2</v>
      </c>
      <c r="W82" s="108">
        <f t="shared" si="92"/>
        <v>4.840000000000011E-2</v>
      </c>
      <c r="X82" s="108">
        <f t="shared" si="93"/>
        <v>4.840000000000011E-2</v>
      </c>
      <c r="Z82" s="108">
        <f t="shared" si="94"/>
        <v>3.6000000000000018E-2</v>
      </c>
      <c r="AA82" s="108">
        <f t="shared" si="95"/>
        <v>7.333333333333328E-3</v>
      </c>
      <c r="AB82" s="108">
        <f t="shared" si="96"/>
        <v>-1.4666666666666717E-2</v>
      </c>
    </row>
    <row r="83" spans="2:28">
      <c r="B83" s="106" t="s">
        <v>92</v>
      </c>
      <c r="C83" s="75">
        <f>C74+C75-C76-1</f>
        <v>15</v>
      </c>
      <c r="H83" s="106" t="s">
        <v>92</v>
      </c>
      <c r="I83" s="75">
        <f>I74+I75-I76-1</f>
        <v>15</v>
      </c>
      <c r="N83" s="106" t="s">
        <v>92</v>
      </c>
      <c r="O83" s="75">
        <f>O74+O75-O76-1</f>
        <v>15</v>
      </c>
      <c r="U83" s="75">
        <v>6</v>
      </c>
      <c r="V83" s="108">
        <f t="shared" si="91"/>
        <v>8.9999999999999824E-4</v>
      </c>
      <c r="W83" s="108">
        <f t="shared" si="92"/>
        <v>4.840000000000011E-2</v>
      </c>
      <c r="X83" s="108">
        <f t="shared" si="93"/>
        <v>0.23039999999999994</v>
      </c>
      <c r="Z83" s="108">
        <f t="shared" si="94"/>
        <v>1.9999999999999974E-3</v>
      </c>
      <c r="AA83" s="108">
        <f t="shared" si="95"/>
        <v>7.3333333333333766E-3</v>
      </c>
      <c r="AB83" s="108">
        <f t="shared" si="96"/>
        <v>-1.5999999999999966E-2</v>
      </c>
    </row>
    <row r="84" spans="2:28">
      <c r="B84" s="101" t="s">
        <v>90</v>
      </c>
      <c r="C84" s="138">
        <f>FDIST(C81,C82,C83)</f>
        <v>1.8693345731899203E-18</v>
      </c>
      <c r="H84" s="101" t="s">
        <v>90</v>
      </c>
      <c r="I84" s="138">
        <f>FDIST(I81,I82,I83)</f>
        <v>1.6628684957419355E-15</v>
      </c>
      <c r="N84" s="101" t="s">
        <v>90</v>
      </c>
      <c r="O84" s="138">
        <f>FDIST(O81,O82,O83)</f>
        <v>2.0816130461594966E-8</v>
      </c>
      <c r="U84" s="75">
        <v>7</v>
      </c>
      <c r="V84" s="108">
        <f t="shared" si="91"/>
        <v>7.2900000000000034E-2</v>
      </c>
      <c r="W84" s="108">
        <f t="shared" si="92"/>
        <v>1.4399999999999932E-2</v>
      </c>
      <c r="X84" s="108">
        <f t="shared" si="93"/>
        <v>1.1663999999999992</v>
      </c>
      <c r="Z84" s="108">
        <f t="shared" si="94"/>
        <v>9.0000000000000149E-3</v>
      </c>
      <c r="AA84" s="108">
        <f t="shared" si="95"/>
        <v>-8.0000000000000002E-3</v>
      </c>
      <c r="AB84" s="108">
        <f t="shared" si="96"/>
        <v>0.17999999999999997</v>
      </c>
    </row>
    <row r="85" spans="2:28">
      <c r="U85" s="75">
        <v>8</v>
      </c>
      <c r="V85" s="108">
        <f t="shared" si="91"/>
        <v>2.8899999999999995E-2</v>
      </c>
      <c r="W85" s="108">
        <f t="shared" si="92"/>
        <v>0.96039999999999992</v>
      </c>
      <c r="X85" s="108">
        <f t="shared" si="93"/>
        <v>3.240000000000004E-2</v>
      </c>
      <c r="Z85" s="108">
        <f t="shared" si="94"/>
        <v>2.2666666666666668E-2</v>
      </c>
      <c r="AA85" s="108">
        <f t="shared" si="95"/>
        <v>0.2613333333333332</v>
      </c>
      <c r="AB85" s="108">
        <f t="shared" si="96"/>
        <v>1.1999999999999995E-2</v>
      </c>
    </row>
    <row r="86" spans="2:28">
      <c r="U86" s="75">
        <v>9</v>
      </c>
      <c r="V86" s="108">
        <f t="shared" si="91"/>
        <v>7.2900000000000034E-2</v>
      </c>
      <c r="W86" s="108">
        <f t="shared" si="92"/>
        <v>4.840000000000011E-2</v>
      </c>
      <c r="X86" s="108">
        <f t="shared" si="93"/>
        <v>4.840000000000011E-2</v>
      </c>
      <c r="Z86" s="108">
        <f t="shared" si="94"/>
        <v>3.6000000000000018E-2</v>
      </c>
      <c r="AA86" s="108">
        <f t="shared" si="95"/>
        <v>7.3333333333333766E-3</v>
      </c>
      <c r="AB86" s="108">
        <f t="shared" si="96"/>
        <v>-1.4666666666666668E-2</v>
      </c>
    </row>
    <row r="87" spans="2:28">
      <c r="U87" s="75">
        <v>10</v>
      </c>
      <c r="V87" s="108">
        <f t="shared" si="91"/>
        <v>2.8899999999999995E-2</v>
      </c>
      <c r="W87" s="108">
        <f t="shared" si="92"/>
        <v>0.14439999999999989</v>
      </c>
      <c r="X87" s="108">
        <f t="shared" si="93"/>
        <v>4.0000000000000295E-4</v>
      </c>
      <c r="Z87" s="108">
        <f t="shared" si="94"/>
        <v>5.6666666666666697E-3</v>
      </c>
      <c r="AA87" s="108">
        <f t="shared" si="95"/>
        <v>-5.0666666666666652E-2</v>
      </c>
      <c r="AB87" s="108">
        <f t="shared" si="96"/>
        <v>-7.3333333333333601E-3</v>
      </c>
    </row>
    <row r="89" spans="2:28">
      <c r="U89" s="101" t="s">
        <v>185</v>
      </c>
      <c r="V89" s="108">
        <f>SUM(V78:X87)</f>
        <v>3.7129999999999996</v>
      </c>
      <c r="Z89" s="108">
        <f>SUM(Z78:AB87)</f>
        <v>0.54999999999999993</v>
      </c>
    </row>
    <row r="92" spans="2:28">
      <c r="G92" s="106"/>
      <c r="M92" s="106"/>
      <c r="U92" s="75">
        <v>1</v>
      </c>
      <c r="V92" s="108">
        <f t="shared" ref="V92:V101" si="97">(Z11-$Z$23)*(Z11-$Z$23)</f>
        <v>1.7777777777777785E-2</v>
      </c>
      <c r="W92" s="108">
        <f t="shared" ref="W92:W101" si="98">(AF11-$Z$23)*(AF11-$Z$23)</f>
        <v>1.7777777777777785E-2</v>
      </c>
      <c r="X92" s="108">
        <f t="shared" ref="X92:X101" si="99">(AL11-$Z$23)*(AL11-$Z$23)</f>
        <v>0.13444444444444442</v>
      </c>
    </row>
    <row r="93" spans="2:28">
      <c r="G93" s="106"/>
      <c r="H93" s="108"/>
      <c r="M93" s="106"/>
      <c r="N93" s="108"/>
      <c r="U93" s="75">
        <v>2</v>
      </c>
      <c r="V93" s="108">
        <f t="shared" si="97"/>
        <v>1.7777777777777785E-2</v>
      </c>
      <c r="W93" s="108">
        <f t="shared" si="98"/>
        <v>1.111111111111107E-3</v>
      </c>
      <c r="X93" s="108">
        <f t="shared" si="99"/>
        <v>1.111111111111107E-3</v>
      </c>
    </row>
    <row r="94" spans="2:28">
      <c r="G94" s="106"/>
      <c r="M94" s="106"/>
      <c r="U94" s="75">
        <v>3</v>
      </c>
      <c r="V94" s="108">
        <f t="shared" si="97"/>
        <v>1.7777777777777785E-2</v>
      </c>
      <c r="W94" s="108">
        <f t="shared" si="98"/>
        <v>1.111111111111107E-3</v>
      </c>
      <c r="X94" s="108">
        <f t="shared" si="99"/>
        <v>1.111111111111107E-3</v>
      </c>
    </row>
    <row r="95" spans="2:28">
      <c r="H95" s="137"/>
      <c r="N95" s="137"/>
      <c r="U95" s="75">
        <v>4</v>
      </c>
      <c r="V95" s="108">
        <f t="shared" si="97"/>
        <v>1.7777777777777785E-2</v>
      </c>
      <c r="W95" s="108">
        <f t="shared" si="98"/>
        <v>1.1111111111111217E-3</v>
      </c>
      <c r="X95" s="108">
        <f t="shared" si="99"/>
        <v>4.4444444444444349E-3</v>
      </c>
    </row>
    <row r="96" spans="2:28">
      <c r="G96" s="106"/>
      <c r="H96" s="108"/>
      <c r="M96" s="106"/>
      <c r="N96" s="108"/>
      <c r="U96" s="75">
        <v>5</v>
      </c>
      <c r="V96" s="108">
        <f t="shared" si="97"/>
        <v>1.7777777777777785E-2</v>
      </c>
      <c r="W96" s="108">
        <f t="shared" si="98"/>
        <v>1.111111111111107E-3</v>
      </c>
      <c r="X96" s="108">
        <f t="shared" si="99"/>
        <v>4.4444444444444644E-3</v>
      </c>
    </row>
    <row r="97" spans="7:36">
      <c r="G97" s="106"/>
      <c r="H97" s="108"/>
      <c r="M97" s="106"/>
      <c r="N97" s="108"/>
      <c r="U97" s="75">
        <v>6</v>
      </c>
      <c r="V97" s="108">
        <f t="shared" si="97"/>
        <v>4.4444444444444427E-3</v>
      </c>
      <c r="W97" s="108">
        <f t="shared" si="98"/>
        <v>1.1111111111111217E-3</v>
      </c>
      <c r="X97" s="108">
        <f t="shared" si="99"/>
        <v>1.111111111111107E-3</v>
      </c>
    </row>
    <row r="98" spans="7:36">
      <c r="G98" s="106"/>
      <c r="M98" s="106"/>
      <c r="U98" s="75">
        <v>7</v>
      </c>
      <c r="V98" s="108">
        <f t="shared" si="97"/>
        <v>1.1111111111111144E-3</v>
      </c>
      <c r="W98" s="108">
        <f t="shared" si="98"/>
        <v>4.4444444444444644E-3</v>
      </c>
      <c r="X98" s="108">
        <f t="shared" si="99"/>
        <v>2.7777777777777783E-2</v>
      </c>
    </row>
    <row r="99" spans="7:36">
      <c r="G99" s="106"/>
      <c r="M99" s="106"/>
      <c r="U99" s="75">
        <v>8</v>
      </c>
      <c r="V99" s="108">
        <f t="shared" si="97"/>
        <v>1.7777777777777785E-2</v>
      </c>
      <c r="W99" s="108">
        <f t="shared" si="98"/>
        <v>7.1111111111111056E-2</v>
      </c>
      <c r="X99" s="108">
        <f t="shared" si="99"/>
        <v>4.4444444444444349E-3</v>
      </c>
    </row>
    <row r="100" spans="7:36">
      <c r="G100" s="101"/>
      <c r="H100" s="137"/>
      <c r="M100" s="101"/>
      <c r="N100" s="137"/>
      <c r="U100" s="75">
        <v>9</v>
      </c>
      <c r="V100" s="108">
        <f t="shared" si="97"/>
        <v>1.7777777777777785E-2</v>
      </c>
      <c r="W100" s="108">
        <f t="shared" si="98"/>
        <v>1.1111111111111217E-3</v>
      </c>
      <c r="X100" s="108">
        <f t="shared" si="99"/>
        <v>4.4444444444444349E-3</v>
      </c>
    </row>
    <row r="101" spans="7:36">
      <c r="U101" s="75">
        <v>10</v>
      </c>
      <c r="V101" s="108">
        <f t="shared" si="97"/>
        <v>1.1111111111111124E-3</v>
      </c>
      <c r="W101" s="108">
        <f t="shared" si="98"/>
        <v>1.7777777777777785E-2</v>
      </c>
      <c r="X101" s="108">
        <f t="shared" si="99"/>
        <v>0.13444444444444442</v>
      </c>
    </row>
    <row r="103" spans="7:36">
      <c r="U103" s="101" t="s">
        <v>185</v>
      </c>
      <c r="V103" s="108">
        <f>SUM(V92:X101)</f>
        <v>0.56666666666666665</v>
      </c>
    </row>
    <row r="106" spans="7:36">
      <c r="U106" s="75" t="s">
        <v>257</v>
      </c>
    </row>
    <row r="107" spans="7:36">
      <c r="U107" s="75" t="s">
        <v>58</v>
      </c>
    </row>
    <row r="108" spans="7:36">
      <c r="U108" s="75">
        <v>1</v>
      </c>
      <c r="V108" s="108">
        <f t="shared" ref="V108:V117" si="100">(V11-$V$22)*(V11-$V$22)</f>
        <v>4.0000000000002956E-4</v>
      </c>
      <c r="W108" s="108">
        <f t="shared" ref="W108:W117" si="101">(AB11-$AB$22)*(AB11-$AB$22)</f>
        <v>4.9000000000000554E-3</v>
      </c>
      <c r="X108" s="108">
        <f t="shared" ref="X108:X117" si="102">(AH11-$AH$22)*(AH11-$AH$22)</f>
        <v>9.6100000000000102E-2</v>
      </c>
      <c r="Z108" s="108">
        <f t="shared" ref="Z108:Z117" si="103">(V11-$V$22)*(W11-$W$22)</f>
        <v>1.0000000000000323E-3</v>
      </c>
      <c r="AA108" s="108">
        <f t="shared" ref="AA108:AA117" si="104">(AB11-$AB$22)*(AC11-$AC$22)</f>
        <v>5.6000000000000641E-3</v>
      </c>
      <c r="AB108" s="108">
        <f t="shared" ref="AB108:AB117" si="105">(AH11-$AH$22)*(AI11-$AI$22)</f>
        <v>-3.4099999999999908E-2</v>
      </c>
      <c r="AD108" s="108">
        <f t="shared" ref="AD108:AD117" si="106">(V11-$V$22)*(Y11-$Y$22)</f>
        <v>1.4000000000000522E-3</v>
      </c>
      <c r="AE108" s="108">
        <f t="shared" ref="AE108:AE117" si="107">(AB11-$AB$22)*(AE11-$AE$22)</f>
        <v>-1.2600000000000047E-2</v>
      </c>
      <c r="AF108" s="108">
        <f t="shared" ref="AF108:AF117" si="108">(AH11-$AH$22)*(AK11-$AK$22)</f>
        <v>8.0599999999999936E-2</v>
      </c>
      <c r="AH108" s="108">
        <f t="shared" ref="AH108:AH117" si="109">(V11-$V$22)*(Z11-$Z$22)</f>
        <v>8.0000000000002964E-4</v>
      </c>
      <c r="AI108" s="108">
        <f t="shared" ref="AI108:AI117" si="110">(AB11-$AB$22)*(AF11-$AF$22)</f>
        <v>-8.4000000000000463E-3</v>
      </c>
      <c r="AJ108" s="108">
        <f t="shared" ref="AJ108:AJ117" si="111">(AH11-$AH$22)*(AL11-$AL$22)</f>
        <v>-8.0600000000000033E-2</v>
      </c>
    </row>
    <row r="109" spans="7:36">
      <c r="U109" s="75">
        <v>2</v>
      </c>
      <c r="V109" s="108">
        <f t="shared" si="100"/>
        <v>4.8400000000000012E-2</v>
      </c>
      <c r="W109" s="108">
        <f t="shared" si="101"/>
        <v>0.28089999999999921</v>
      </c>
      <c r="X109" s="108">
        <f t="shared" si="102"/>
        <v>3.6099999999999938E-2</v>
      </c>
      <c r="Z109" s="108">
        <f t="shared" si="103"/>
        <v>-1.0999999999999975E-2</v>
      </c>
      <c r="AA109" s="108">
        <f t="shared" si="104"/>
        <v>-4.2400000000000181E-2</v>
      </c>
      <c r="AB109" s="108">
        <f t="shared" si="105"/>
        <v>1.9E-3</v>
      </c>
      <c r="AD109" s="108">
        <f t="shared" si="106"/>
        <v>1.5400000000000006E-2</v>
      </c>
      <c r="AE109" s="108">
        <f t="shared" si="107"/>
        <v>0.14839999999999989</v>
      </c>
      <c r="AF109" s="108">
        <f t="shared" si="108"/>
        <v>6.4599999999999935E-2</v>
      </c>
      <c r="AH109" s="108">
        <f t="shared" si="109"/>
        <v>8.8000000000000005E-3</v>
      </c>
      <c r="AI109" s="108">
        <f t="shared" si="110"/>
        <v>1.0599999999999936E-2</v>
      </c>
      <c r="AJ109" s="108">
        <f t="shared" si="111"/>
        <v>-2.6599999999999967E-2</v>
      </c>
    </row>
    <row r="110" spans="7:36">
      <c r="U110" s="75">
        <v>3</v>
      </c>
      <c r="V110" s="108">
        <f t="shared" si="100"/>
        <v>3.9999999999999406E-4</v>
      </c>
      <c r="W110" s="108">
        <f t="shared" si="101"/>
        <v>8.9999999999995498E-4</v>
      </c>
      <c r="X110" s="108">
        <f t="shared" si="102"/>
        <v>1.2099999999999998E-2</v>
      </c>
      <c r="Z110" s="108">
        <f t="shared" si="103"/>
        <v>2.9999999999999836E-3</v>
      </c>
      <c r="AA110" s="108">
        <f t="shared" si="104"/>
        <v>5.9999999999997382E-4</v>
      </c>
      <c r="AB110" s="108">
        <f t="shared" si="105"/>
        <v>2.0900000000000016E-2</v>
      </c>
      <c r="AD110" s="108">
        <f t="shared" si="106"/>
        <v>-5.9999999999999247E-4</v>
      </c>
      <c r="AE110" s="108">
        <f t="shared" si="107"/>
        <v>-6.0000000000000049E-4</v>
      </c>
      <c r="AF110" s="108">
        <f t="shared" si="108"/>
        <v>3.959999999999992E-2</v>
      </c>
      <c r="AH110" s="108">
        <f t="shared" si="109"/>
        <v>7.9999999999999408E-4</v>
      </c>
      <c r="AI110" s="108">
        <f t="shared" si="110"/>
        <v>5.9999999999998217E-4</v>
      </c>
      <c r="AJ110" s="108">
        <f t="shared" si="111"/>
        <v>1.5399999999999994E-2</v>
      </c>
    </row>
    <row r="111" spans="7:36">
      <c r="U111" s="75">
        <v>4</v>
      </c>
      <c r="V111" s="108">
        <f t="shared" si="100"/>
        <v>6.4000000000001087E-3</v>
      </c>
      <c r="W111" s="108">
        <f t="shared" si="101"/>
        <v>7.2899999999999826E-2</v>
      </c>
      <c r="X111" s="108">
        <f t="shared" si="102"/>
        <v>9.6100000000000102E-2</v>
      </c>
      <c r="Z111" s="108">
        <f t="shared" si="103"/>
        <v>-4.0000000000000513E-3</v>
      </c>
      <c r="AA111" s="108">
        <f t="shared" si="104"/>
        <v>7.5599999999999848E-2</v>
      </c>
      <c r="AB111" s="108">
        <f t="shared" si="105"/>
        <v>5.8899999999999945E-2</v>
      </c>
      <c r="AD111" s="108">
        <f t="shared" si="106"/>
        <v>2.4000000000000258E-3</v>
      </c>
      <c r="AE111" s="108">
        <f t="shared" si="107"/>
        <v>5.9399999999999877E-2</v>
      </c>
      <c r="AF111" s="108">
        <f t="shared" si="108"/>
        <v>4.9600000000000033E-2</v>
      </c>
      <c r="AH111" s="108">
        <f t="shared" si="109"/>
        <v>-3.2000000000000275E-3</v>
      </c>
      <c r="AI111" s="108">
        <f t="shared" si="110"/>
        <v>-5.400000000000028E-3</v>
      </c>
      <c r="AJ111" s="108">
        <f t="shared" si="111"/>
        <v>1.2400000000000034E-2</v>
      </c>
    </row>
    <row r="112" spans="7:36">
      <c r="U112" s="75">
        <v>5</v>
      </c>
      <c r="V112" s="108">
        <f t="shared" si="100"/>
        <v>1.4400000000000092E-2</v>
      </c>
      <c r="W112" s="108">
        <f t="shared" si="101"/>
        <v>0.18489999999999965</v>
      </c>
      <c r="X112" s="108">
        <f t="shared" si="102"/>
        <v>0.26010000000000033</v>
      </c>
      <c r="Z112" s="108">
        <f t="shared" si="103"/>
        <v>-6.0000000000000582E-3</v>
      </c>
      <c r="AA112" s="108">
        <f t="shared" si="104"/>
        <v>9.4600000000000017E-2</v>
      </c>
      <c r="AB112" s="108">
        <f t="shared" si="105"/>
        <v>9.6900000000000153E-2</v>
      </c>
      <c r="AD112" s="108">
        <f t="shared" si="106"/>
        <v>8.400000000000029E-3</v>
      </c>
      <c r="AE112" s="108">
        <f t="shared" si="107"/>
        <v>0.12039999999999998</v>
      </c>
      <c r="AF112" s="108">
        <f t="shared" si="108"/>
        <v>0.18360000000000024</v>
      </c>
      <c r="AH112" s="108">
        <f t="shared" si="109"/>
        <v>4.8000000000000152E-3</v>
      </c>
      <c r="AI112" s="108">
        <f t="shared" si="110"/>
        <v>8.5999999999999514E-3</v>
      </c>
      <c r="AJ112" s="108">
        <f t="shared" si="111"/>
        <v>2.0399999999999946E-2</v>
      </c>
    </row>
    <row r="113" spans="21:36">
      <c r="U113" s="75">
        <v>6</v>
      </c>
      <c r="V113" s="108">
        <f t="shared" si="100"/>
        <v>7.8399999999999984E-2</v>
      </c>
      <c r="W113" s="108">
        <f t="shared" si="101"/>
        <v>4.8999999999999313E-3</v>
      </c>
      <c r="X113" s="108">
        <f t="shared" si="102"/>
        <v>0.15210000000000001</v>
      </c>
      <c r="Z113" s="108">
        <f t="shared" si="103"/>
        <v>9.8000000000000032E-2</v>
      </c>
      <c r="AA113" s="108">
        <f t="shared" si="104"/>
        <v>-1.5399999999999909E-2</v>
      </c>
      <c r="AB113" s="108">
        <f t="shared" si="105"/>
        <v>-7.4100000000000069E-2</v>
      </c>
      <c r="AD113" s="108">
        <f t="shared" si="106"/>
        <v>6.4399999999999999E-2</v>
      </c>
      <c r="AE113" s="108">
        <f t="shared" si="107"/>
        <v>-1.9599999999999874E-2</v>
      </c>
      <c r="AF113" s="108">
        <f t="shared" si="108"/>
        <v>0.1326</v>
      </c>
      <c r="AH113" s="108">
        <f t="shared" si="109"/>
        <v>4.48E-2</v>
      </c>
      <c r="AI113" s="108">
        <f t="shared" si="110"/>
        <v>-1.3999999999999991E-3</v>
      </c>
      <c r="AJ113" s="108">
        <f t="shared" si="111"/>
        <v>-5.4599999999999989E-2</v>
      </c>
    </row>
    <row r="114" spans="21:36">
      <c r="U114" s="75">
        <v>7</v>
      </c>
      <c r="V114" s="108">
        <f t="shared" si="100"/>
        <v>6.4000000000001087E-3</v>
      </c>
      <c r="W114" s="108">
        <f t="shared" si="101"/>
        <v>0.28090000000000015</v>
      </c>
      <c r="X114" s="108">
        <f t="shared" si="102"/>
        <v>1.1880999999999988</v>
      </c>
      <c r="Z114" s="108">
        <f t="shared" si="103"/>
        <v>-1.200000000000009E-2</v>
      </c>
      <c r="AA114" s="108">
        <f t="shared" si="104"/>
        <v>-9.5400000000000082E-2</v>
      </c>
      <c r="AB114" s="108">
        <f t="shared" si="105"/>
        <v>0.22890000000000008</v>
      </c>
      <c r="AD114" s="108">
        <f t="shared" si="106"/>
        <v>-5.6000000000000494E-3</v>
      </c>
      <c r="AE114" s="108">
        <f t="shared" si="107"/>
        <v>9.5399999999999846E-2</v>
      </c>
      <c r="AF114" s="108">
        <f t="shared" si="108"/>
        <v>1.0245999999999991</v>
      </c>
      <c r="AH114" s="108">
        <f t="shared" si="109"/>
        <v>4.8000000000000395E-3</v>
      </c>
      <c r="AI114" s="108">
        <f t="shared" si="110"/>
        <v>-4.2400000000000104E-2</v>
      </c>
      <c r="AJ114" s="108">
        <f t="shared" si="111"/>
        <v>6.5399999999999958E-2</v>
      </c>
    </row>
    <row r="115" spans="21:36">
      <c r="U115" s="75">
        <v>8</v>
      </c>
      <c r="V115" s="108">
        <f t="shared" si="100"/>
        <v>1.4400000000000092E-2</v>
      </c>
      <c r="W115" s="108">
        <f t="shared" si="101"/>
        <v>0.7568999999999988</v>
      </c>
      <c r="X115" s="108">
        <f t="shared" si="102"/>
        <v>8.1000000000000343E-3</v>
      </c>
      <c r="Z115" s="108">
        <f t="shared" si="103"/>
        <v>1.800000000000004E-2</v>
      </c>
      <c r="AA115" s="108">
        <f t="shared" si="104"/>
        <v>0.15659999999999957</v>
      </c>
      <c r="AB115" s="108">
        <f t="shared" si="105"/>
        <v>-1.7100000000000011E-2</v>
      </c>
      <c r="AD115" s="108">
        <f t="shared" si="106"/>
        <v>-3.6000000000000199E-3</v>
      </c>
      <c r="AE115" s="108">
        <f t="shared" si="107"/>
        <v>0.80039999999999933</v>
      </c>
      <c r="AF115" s="108">
        <f t="shared" si="108"/>
        <v>3.6000000000000207E-3</v>
      </c>
      <c r="AH115" s="108">
        <f t="shared" si="109"/>
        <v>4.8000000000000152E-3</v>
      </c>
      <c r="AI115" s="108">
        <f t="shared" si="110"/>
        <v>0.24359999999999973</v>
      </c>
      <c r="AJ115" s="108">
        <f t="shared" si="111"/>
        <v>-3.6000000000000159E-3</v>
      </c>
    </row>
    <row r="116" spans="21:36">
      <c r="U116" s="75">
        <v>9</v>
      </c>
      <c r="V116" s="108">
        <f t="shared" si="100"/>
        <v>7.8399999999999984E-2</v>
      </c>
      <c r="W116" s="108">
        <f t="shared" si="101"/>
        <v>0.10889999999999997</v>
      </c>
      <c r="X116" s="108">
        <f t="shared" si="102"/>
        <v>0.26009999999999944</v>
      </c>
      <c r="Z116" s="108">
        <f t="shared" si="103"/>
        <v>4.1999999999999989E-2</v>
      </c>
      <c r="AA116" s="108">
        <f t="shared" si="104"/>
        <v>7.2599999999999928E-2</v>
      </c>
      <c r="AB116" s="108">
        <f t="shared" si="105"/>
        <v>-0.10709999999999999</v>
      </c>
      <c r="AD116" s="108">
        <f t="shared" si="106"/>
        <v>-1.9600000000000003E-2</v>
      </c>
      <c r="AE116" s="108">
        <f t="shared" si="107"/>
        <v>9.2400000000000052E-2</v>
      </c>
      <c r="AF116" s="108">
        <f t="shared" si="108"/>
        <v>0.1835999999999999</v>
      </c>
      <c r="AH116" s="108">
        <f t="shared" si="109"/>
        <v>-1.12E-2</v>
      </c>
      <c r="AI116" s="108">
        <f t="shared" si="110"/>
        <v>6.6000000000000416E-3</v>
      </c>
      <c r="AJ116" s="108">
        <f t="shared" si="111"/>
        <v>2.0400000000000026E-2</v>
      </c>
    </row>
    <row r="117" spans="21:36">
      <c r="U117" s="75">
        <v>10</v>
      </c>
      <c r="V117" s="108">
        <f t="shared" si="100"/>
        <v>4.8400000000000012E-2</v>
      </c>
      <c r="W117" s="108">
        <f t="shared" si="101"/>
        <v>0.32489999999999941</v>
      </c>
      <c r="X117" s="108">
        <f t="shared" si="102"/>
        <v>9.9999999999989081E-5</v>
      </c>
      <c r="Z117" s="108">
        <f t="shared" si="103"/>
        <v>1.1000000000000048E-2</v>
      </c>
      <c r="AA117" s="108">
        <f t="shared" si="104"/>
        <v>-6.840000000000028E-2</v>
      </c>
      <c r="AB117" s="108">
        <f t="shared" si="105"/>
        <v>-4.0999999999997748E-3</v>
      </c>
      <c r="AD117" s="108">
        <f t="shared" si="106"/>
        <v>-6.6000000000000156E-3</v>
      </c>
      <c r="AE117" s="108">
        <f t="shared" si="107"/>
        <v>0.18239999999999978</v>
      </c>
      <c r="AF117" s="108">
        <f t="shared" si="108"/>
        <v>1.5999999999999129E-3</v>
      </c>
      <c r="AH117" s="108">
        <f t="shared" si="109"/>
        <v>-1.3200000000000003E-2</v>
      </c>
      <c r="AI117" s="108">
        <f t="shared" si="110"/>
        <v>-6.8399999999999933E-2</v>
      </c>
      <c r="AJ117" s="108">
        <f t="shared" si="111"/>
        <v>-2.5999999999998576E-3</v>
      </c>
    </row>
    <row r="119" spans="21:36">
      <c r="U119" s="101" t="s">
        <v>185</v>
      </c>
      <c r="V119" s="108">
        <f>SUM(V108:X117)</f>
        <v>4.4259999999999957</v>
      </c>
      <c r="Z119" s="108">
        <f>SUM(Z108:AB117)</f>
        <v>0.49499999999999927</v>
      </c>
      <c r="AD119" s="108">
        <f>SUM(AD108:AF117)</f>
        <v>3.2859999999999978</v>
      </c>
      <c r="AH119" s="108">
        <f>SUM(AH108:AJ117)</f>
        <v>0.15199999999999975</v>
      </c>
    </row>
    <row r="122" spans="21:36">
      <c r="U122" s="75">
        <v>1</v>
      </c>
      <c r="V122" s="108">
        <f t="shared" ref="V122:V131" si="112">(W11-$W$22)*(W11-$W$22)</f>
        <v>2.4999999999999766E-3</v>
      </c>
      <c r="W122" s="108">
        <f t="shared" ref="W122:W131" si="113">(AC11-$AC$22)*(AC11-$AC$22)</f>
        <v>6.4000000000000732E-3</v>
      </c>
      <c r="X122" s="108">
        <f t="shared" ref="X122:X131" si="114">(AI11-$AI$22)*(AI11-$AI$22)</f>
        <v>1.2099999999999923E-2</v>
      </c>
      <c r="Z122" s="108">
        <f t="shared" ref="Z122:Z131" si="115">(W11-$W$22)*(Y11-$Y$22)</f>
        <v>3.4999999999999849E-3</v>
      </c>
      <c r="AA122" s="108">
        <f t="shared" ref="AA122:AA131" si="116">(AC11-$AC$22)*(AE11-$AE$22)</f>
        <v>-1.4400000000000055E-2</v>
      </c>
      <c r="AB122" s="108">
        <f t="shared" ref="AB122:AB131" si="117">(AI11-$AI$22)*(AK11-$AK$22)</f>
        <v>-2.8599999999999876E-2</v>
      </c>
      <c r="AD122" s="108">
        <f t="shared" ref="AD122:AD131" si="118">(W11-$W$22)*(Z11-$Z$22)</f>
        <v>1.9999999999999905E-3</v>
      </c>
      <c r="AE122" s="108">
        <f t="shared" ref="AE122:AE131" si="119">(AC11-$AC$22)*(AF11-$AF$22)</f>
        <v>-9.6000000000000547E-3</v>
      </c>
      <c r="AF122" s="108">
        <f t="shared" ref="AF122:AF131" si="120">(AI11-$AI$22)*(AL11-$AL$22)</f>
        <v>2.8599999999999903E-2</v>
      </c>
    </row>
    <row r="123" spans="21:36">
      <c r="U123" s="75">
        <v>2</v>
      </c>
      <c r="V123" s="108">
        <f t="shared" si="112"/>
        <v>2.4999999999999879E-3</v>
      </c>
      <c r="W123" s="108">
        <f t="shared" si="113"/>
        <v>6.4000000000000732E-3</v>
      </c>
      <c r="X123" s="108">
        <f t="shared" si="114"/>
        <v>1.0000000000000018E-4</v>
      </c>
      <c r="Z123" s="108">
        <f t="shared" si="115"/>
        <v>-3.4999999999999923E-3</v>
      </c>
      <c r="AA123" s="108">
        <f t="shared" si="116"/>
        <v>-2.2400000000000145E-2</v>
      </c>
      <c r="AB123" s="108">
        <f t="shared" si="117"/>
        <v>3.4000000000000028E-3</v>
      </c>
      <c r="AD123" s="108">
        <f t="shared" si="118"/>
        <v>-1.9999999999999953E-3</v>
      </c>
      <c r="AE123" s="108">
        <f t="shared" si="119"/>
        <v>-1.6000000000000018E-3</v>
      </c>
      <c r="AF123" s="108">
        <f t="shared" si="120"/>
        <v>-1.4000000000000009E-3</v>
      </c>
    </row>
    <row r="124" spans="21:36">
      <c r="U124" s="75">
        <v>3</v>
      </c>
      <c r="V124" s="108">
        <f t="shared" si="112"/>
        <v>2.2500000000000089E-2</v>
      </c>
      <c r="W124" s="108">
        <f t="shared" si="113"/>
        <v>3.9999999999998517E-4</v>
      </c>
      <c r="X124" s="108">
        <f t="shared" si="114"/>
        <v>3.6100000000000063E-2</v>
      </c>
      <c r="Z124" s="108">
        <f t="shared" si="115"/>
        <v>-4.4999999999999858E-3</v>
      </c>
      <c r="AA124" s="108">
        <f t="shared" si="116"/>
        <v>-4.0000000000000295E-4</v>
      </c>
      <c r="AB124" s="108">
        <f t="shared" si="117"/>
        <v>6.8399999999999933E-2</v>
      </c>
      <c r="AD124" s="108">
        <f t="shared" si="118"/>
        <v>6.0000000000000123E-3</v>
      </c>
      <c r="AE124" s="108">
        <f t="shared" si="119"/>
        <v>3.999999999999907E-4</v>
      </c>
      <c r="AF124" s="108">
        <f t="shared" si="120"/>
        <v>2.6600000000000016E-2</v>
      </c>
    </row>
    <row r="125" spans="21:36">
      <c r="U125" s="75">
        <v>4</v>
      </c>
      <c r="V125" s="108">
        <f t="shared" si="112"/>
        <v>2.5000000000000213E-3</v>
      </c>
      <c r="W125" s="108">
        <f t="shared" si="113"/>
        <v>7.8399999999999859E-2</v>
      </c>
      <c r="X125" s="108">
        <f t="shared" si="114"/>
        <v>3.6099999999999896E-2</v>
      </c>
      <c r="Z125" s="108">
        <f t="shared" si="115"/>
        <v>-1.5000000000000098E-3</v>
      </c>
      <c r="AA125" s="108">
        <f t="shared" si="116"/>
        <v>6.1599999999999891E-2</v>
      </c>
      <c r="AB125" s="108">
        <f t="shared" si="117"/>
        <v>3.0399999999999962E-2</v>
      </c>
      <c r="AD125" s="108">
        <f t="shared" si="118"/>
        <v>2.0000000000000083E-3</v>
      </c>
      <c r="AE125" s="108">
        <f t="shared" si="119"/>
        <v>-5.6000000000000312E-3</v>
      </c>
      <c r="AF125" s="108">
        <f t="shared" si="120"/>
        <v>7.6000000000000061E-3</v>
      </c>
    </row>
    <row r="126" spans="21:36">
      <c r="U126" s="75">
        <v>5</v>
      </c>
      <c r="V126" s="108">
        <f t="shared" si="112"/>
        <v>2.5000000000000321E-3</v>
      </c>
      <c r="W126" s="108">
        <f t="shared" si="113"/>
        <v>4.840000000000011E-2</v>
      </c>
      <c r="X126" s="108">
        <f t="shared" si="114"/>
        <v>3.6100000000000063E-2</v>
      </c>
      <c r="Z126" s="108">
        <f t="shared" si="115"/>
        <v>-3.5000000000000235E-3</v>
      </c>
      <c r="AA126" s="108">
        <f t="shared" si="116"/>
        <v>6.1600000000000113E-2</v>
      </c>
      <c r="AB126" s="108">
        <f t="shared" si="117"/>
        <v>6.84000000000001E-2</v>
      </c>
      <c r="AD126" s="108">
        <f t="shared" si="118"/>
        <v>-2.0000000000000131E-3</v>
      </c>
      <c r="AE126" s="108">
        <f t="shared" si="119"/>
        <v>4.3999999999999847E-3</v>
      </c>
      <c r="AF126" s="108">
        <f t="shared" si="120"/>
        <v>7.5999999999999818E-3</v>
      </c>
    </row>
    <row r="127" spans="21:36">
      <c r="U127" s="75">
        <v>6</v>
      </c>
      <c r="V127" s="108">
        <f t="shared" si="112"/>
        <v>0.12250000000000009</v>
      </c>
      <c r="W127" s="108">
        <f t="shared" si="113"/>
        <v>4.840000000000011E-2</v>
      </c>
      <c r="X127" s="108">
        <f t="shared" si="114"/>
        <v>3.6100000000000063E-2</v>
      </c>
      <c r="Z127" s="108">
        <f t="shared" si="115"/>
        <v>8.0500000000000044E-2</v>
      </c>
      <c r="AA127" s="108">
        <f t="shared" si="116"/>
        <v>6.1600000000000113E-2</v>
      </c>
      <c r="AB127" s="108">
        <f t="shared" si="117"/>
        <v>-6.4600000000000046E-2</v>
      </c>
      <c r="AD127" s="108">
        <f t="shared" si="118"/>
        <v>5.6000000000000022E-2</v>
      </c>
      <c r="AE127" s="108">
        <f t="shared" si="119"/>
        <v>4.4000000000000332E-3</v>
      </c>
      <c r="AF127" s="108">
        <f t="shared" si="120"/>
        <v>2.6600000000000016E-2</v>
      </c>
    </row>
    <row r="128" spans="21:36">
      <c r="U128" s="75">
        <v>7</v>
      </c>
      <c r="V128" s="108">
        <f t="shared" si="112"/>
        <v>2.2499999999999958E-2</v>
      </c>
      <c r="W128" s="108">
        <f t="shared" si="113"/>
        <v>3.240000000000004E-2</v>
      </c>
      <c r="X128" s="108">
        <f t="shared" si="114"/>
        <v>4.4100000000000077E-2</v>
      </c>
      <c r="Z128" s="108">
        <f t="shared" si="115"/>
        <v>1.0499999999999994E-2</v>
      </c>
      <c r="AA128" s="108">
        <f t="shared" si="116"/>
        <v>-3.2399999999999957E-2</v>
      </c>
      <c r="AB128" s="108">
        <f t="shared" si="117"/>
        <v>0.1974000000000001</v>
      </c>
      <c r="AD128" s="108">
        <f t="shared" si="118"/>
        <v>-8.9999999999999872E-3</v>
      </c>
      <c r="AE128" s="108">
        <f t="shared" si="119"/>
        <v>1.4400000000000041E-2</v>
      </c>
      <c r="AF128" s="108">
        <f t="shared" si="120"/>
        <v>1.260000000000001E-2</v>
      </c>
    </row>
    <row r="129" spans="21:32">
      <c r="U129" s="75">
        <v>8</v>
      </c>
      <c r="V129" s="108">
        <f t="shared" si="112"/>
        <v>2.2499999999999958E-2</v>
      </c>
      <c r="W129" s="108">
        <f t="shared" si="113"/>
        <v>3.239999999999988E-2</v>
      </c>
      <c r="X129" s="108">
        <f t="shared" si="114"/>
        <v>3.6099999999999896E-2</v>
      </c>
      <c r="Z129" s="108">
        <f t="shared" si="115"/>
        <v>-4.5000000000000057E-3</v>
      </c>
      <c r="AA129" s="108">
        <f t="shared" si="116"/>
        <v>0.16559999999999966</v>
      </c>
      <c r="AB129" s="108">
        <f t="shared" si="117"/>
        <v>-7.6000000000000165E-3</v>
      </c>
      <c r="AD129" s="108">
        <f t="shared" si="118"/>
        <v>5.9999999999999941E-3</v>
      </c>
      <c r="AE129" s="108">
        <f t="shared" si="119"/>
        <v>5.0399999999999889E-2</v>
      </c>
      <c r="AF129" s="108">
        <f t="shared" si="120"/>
        <v>7.6000000000000061E-3</v>
      </c>
    </row>
    <row r="130" spans="21:32">
      <c r="U130" s="75">
        <v>9</v>
      </c>
      <c r="V130" s="108">
        <f t="shared" si="112"/>
        <v>2.2499999999999989E-2</v>
      </c>
      <c r="W130" s="108">
        <f t="shared" si="113"/>
        <v>4.8399999999999915E-2</v>
      </c>
      <c r="X130" s="108">
        <f t="shared" si="114"/>
        <v>4.4100000000000077E-2</v>
      </c>
      <c r="Z130" s="108">
        <f t="shared" si="115"/>
        <v>-1.0500000000000001E-2</v>
      </c>
      <c r="AA130" s="108">
        <f t="shared" si="116"/>
        <v>6.1599999999999988E-2</v>
      </c>
      <c r="AB130" s="108">
        <f t="shared" si="117"/>
        <v>-7.5600000000000112E-2</v>
      </c>
      <c r="AD130" s="108">
        <f t="shared" si="118"/>
        <v>-5.9999999999999984E-3</v>
      </c>
      <c r="AE130" s="108">
        <f t="shared" si="119"/>
        <v>4.4000000000000246E-3</v>
      </c>
      <c r="AF130" s="108">
        <f t="shared" si="120"/>
        <v>-8.4000000000000272E-3</v>
      </c>
    </row>
    <row r="131" spans="21:32">
      <c r="U131" s="75">
        <v>10</v>
      </c>
      <c r="V131" s="108">
        <f t="shared" si="112"/>
        <v>2.5000000000000213E-3</v>
      </c>
      <c r="W131" s="108">
        <f t="shared" si="113"/>
        <v>1.4400000000000145E-2</v>
      </c>
      <c r="X131" s="108">
        <f t="shared" si="114"/>
        <v>0.16809999999999994</v>
      </c>
      <c r="Z131" s="108">
        <f t="shared" si="115"/>
        <v>-1.5000000000000098E-3</v>
      </c>
      <c r="AA131" s="108">
        <f t="shared" si="116"/>
        <v>-3.8400000000000184E-2</v>
      </c>
      <c r="AB131" s="108">
        <f t="shared" si="117"/>
        <v>-6.5600000000000006E-2</v>
      </c>
      <c r="AD131" s="108">
        <f t="shared" si="118"/>
        <v>-3.0000000000000131E-3</v>
      </c>
      <c r="AE131" s="108">
        <f t="shared" si="119"/>
        <v>1.4400000000000072E-2</v>
      </c>
      <c r="AF131" s="108">
        <f t="shared" si="120"/>
        <v>0.10659999999999996</v>
      </c>
    </row>
    <row r="133" spans="21:32">
      <c r="U133" s="101" t="s">
        <v>185</v>
      </c>
      <c r="V133" s="108">
        <f>SUM(V122:X131)</f>
        <v>0.99000000000000021</v>
      </c>
      <c r="Z133" s="108">
        <f>SUM(Z122:AB131)</f>
        <v>0.49499999999999944</v>
      </c>
      <c r="AD133" s="108">
        <f>SUM(AD122:AF131)</f>
        <v>0.33999999999999986</v>
      </c>
    </row>
    <row r="136" spans="21:32">
      <c r="U136" s="75">
        <v>1</v>
      </c>
      <c r="V136" s="108">
        <f t="shared" ref="V136:V145" si="121">(Y11-$Y$22)*(Y11-$Y$22)</f>
        <v>4.9000000000000024E-3</v>
      </c>
      <c r="W136" s="108">
        <f t="shared" ref="W136:W145" si="122">(AE11-$AE$22)*(AE11-$AE$22)</f>
        <v>3.239999999999988E-2</v>
      </c>
      <c r="X136" s="108">
        <f t="shared" ref="X136:X145" si="123">(AK11-$AK$22)*(AK11-$AK$22)</f>
        <v>6.7599999999999827E-2</v>
      </c>
      <c r="Z136" s="108">
        <f t="shared" ref="Z136:Z145" si="124">(Y11-$Y$22)*(Z11-$Z$22)</f>
        <v>2.8000000000000008E-3</v>
      </c>
      <c r="AA136" s="108">
        <f t="shared" ref="AA136:AA145" si="125">(AE11-$AE$22)*(AF11-$AF$22)</f>
        <v>2.159999999999996E-2</v>
      </c>
      <c r="AB136" s="108">
        <f t="shared" ref="AB136:AB145" si="126">(AK11-$AK$22)*(AL11-$AL$22)</f>
        <v>-6.759999999999991E-2</v>
      </c>
    </row>
    <row r="137" spans="21:32">
      <c r="U137" s="75">
        <v>2</v>
      </c>
      <c r="V137" s="108">
        <f t="shared" si="121"/>
        <v>4.9000000000000024E-3</v>
      </c>
      <c r="W137" s="108">
        <f t="shared" si="122"/>
        <v>7.8400000000000108E-2</v>
      </c>
      <c r="X137" s="108">
        <f t="shared" si="123"/>
        <v>0.11559999999999998</v>
      </c>
      <c r="Z137" s="108">
        <f t="shared" si="124"/>
        <v>2.8000000000000008E-3</v>
      </c>
      <c r="AA137" s="108">
        <f t="shared" si="125"/>
        <v>5.5999999999999774E-3</v>
      </c>
      <c r="AB137" s="108">
        <f t="shared" si="126"/>
        <v>-4.7599999999999983E-2</v>
      </c>
    </row>
    <row r="138" spans="21:32">
      <c r="U138" s="75">
        <v>3</v>
      </c>
      <c r="V138" s="108">
        <f t="shared" si="121"/>
        <v>8.9999999999999076E-4</v>
      </c>
      <c r="W138" s="108">
        <f t="shared" si="122"/>
        <v>4.0000000000002067E-4</v>
      </c>
      <c r="X138" s="108">
        <f t="shared" si="123"/>
        <v>0.12959999999999952</v>
      </c>
      <c r="Z138" s="108">
        <f t="shared" si="124"/>
        <v>-1.1999999999999938E-3</v>
      </c>
      <c r="AA138" s="108">
        <f t="shared" si="125"/>
        <v>-4.0000000000000848E-4</v>
      </c>
      <c r="AB138" s="108">
        <f t="shared" si="126"/>
        <v>5.0399999999999889E-2</v>
      </c>
    </row>
    <row r="139" spans="21:32">
      <c r="U139" s="75">
        <v>4</v>
      </c>
      <c r="V139" s="108">
        <f t="shared" si="121"/>
        <v>9.000000000000041E-4</v>
      </c>
      <c r="W139" s="108">
        <f t="shared" si="122"/>
        <v>4.8399999999999915E-2</v>
      </c>
      <c r="X139" s="108">
        <f t="shared" si="123"/>
        <v>2.5600000000000012E-2</v>
      </c>
      <c r="Z139" s="108">
        <f t="shared" si="124"/>
        <v>-1.2000000000000027E-3</v>
      </c>
      <c r="AA139" s="108">
        <f t="shared" si="125"/>
        <v>-4.4000000000000246E-3</v>
      </c>
      <c r="AB139" s="108">
        <f t="shared" si="126"/>
        <v>6.4000000000000159E-3</v>
      </c>
    </row>
    <row r="140" spans="21:32">
      <c r="U140" s="75">
        <v>5</v>
      </c>
      <c r="V140" s="108">
        <f t="shared" si="121"/>
        <v>4.9000000000000024E-3</v>
      </c>
      <c r="W140" s="108">
        <f t="shared" si="122"/>
        <v>7.8400000000000108E-2</v>
      </c>
      <c r="X140" s="108">
        <f t="shared" si="123"/>
        <v>0.12960000000000016</v>
      </c>
      <c r="Z140" s="108">
        <f t="shared" si="124"/>
        <v>2.8000000000000008E-3</v>
      </c>
      <c r="AA140" s="108">
        <f t="shared" si="125"/>
        <v>5.5999999999999774E-3</v>
      </c>
      <c r="AB140" s="108">
        <f t="shared" si="126"/>
        <v>1.4399999999999961E-2</v>
      </c>
    </row>
    <row r="141" spans="21:32">
      <c r="U141" s="75">
        <v>6</v>
      </c>
      <c r="V141" s="108">
        <f t="shared" si="121"/>
        <v>5.2900000000000016E-2</v>
      </c>
      <c r="W141" s="108">
        <f t="shared" si="122"/>
        <v>7.8400000000000108E-2</v>
      </c>
      <c r="X141" s="108">
        <f t="shared" si="123"/>
        <v>0.11559999999999998</v>
      </c>
      <c r="Z141" s="108">
        <f t="shared" si="124"/>
        <v>3.6800000000000006E-2</v>
      </c>
      <c r="AA141" s="108">
        <f t="shared" si="125"/>
        <v>5.6000000000000398E-3</v>
      </c>
      <c r="AB141" s="108">
        <f t="shared" si="126"/>
        <v>-4.7599999999999983E-2</v>
      </c>
    </row>
    <row r="142" spans="21:32">
      <c r="U142" s="75">
        <v>7</v>
      </c>
      <c r="V142" s="108">
        <f t="shared" si="121"/>
        <v>4.9000000000000024E-3</v>
      </c>
      <c r="W142" s="108">
        <f t="shared" si="122"/>
        <v>3.239999999999988E-2</v>
      </c>
      <c r="X142" s="108">
        <f t="shared" si="123"/>
        <v>0.88359999999999927</v>
      </c>
      <c r="Z142" s="108">
        <f t="shared" si="124"/>
        <v>-4.1999999999999997E-3</v>
      </c>
      <c r="AA142" s="108">
        <f t="shared" si="125"/>
        <v>-1.4400000000000005E-2</v>
      </c>
      <c r="AB142" s="108">
        <f t="shared" si="126"/>
        <v>5.6399999999999978E-2</v>
      </c>
    </row>
    <row r="143" spans="21:32">
      <c r="U143" s="75">
        <v>8</v>
      </c>
      <c r="V143" s="108">
        <f t="shared" si="121"/>
        <v>9.000000000000041E-4</v>
      </c>
      <c r="W143" s="108">
        <f t="shared" si="122"/>
        <v>0.84639999999999982</v>
      </c>
      <c r="X143" s="108">
        <f t="shared" si="123"/>
        <v>1.6000000000000118E-3</v>
      </c>
      <c r="Z143" s="108">
        <f t="shared" si="124"/>
        <v>-1.2000000000000027E-3</v>
      </c>
      <c r="AA143" s="108">
        <f t="shared" si="125"/>
        <v>0.25759999999999988</v>
      </c>
      <c r="AB143" s="108">
        <f t="shared" si="126"/>
        <v>-1.6000000000000094E-3</v>
      </c>
    </row>
    <row r="144" spans="21:32">
      <c r="U144" s="75">
        <v>9</v>
      </c>
      <c r="V144" s="108">
        <f t="shared" si="121"/>
        <v>4.9000000000000024E-3</v>
      </c>
      <c r="W144" s="108">
        <f t="shared" si="122"/>
        <v>7.8400000000000108E-2</v>
      </c>
      <c r="X144" s="108">
        <f t="shared" si="123"/>
        <v>0.12960000000000016</v>
      </c>
      <c r="Z144" s="108">
        <f t="shared" si="124"/>
        <v>2.8000000000000008E-3</v>
      </c>
      <c r="AA144" s="108">
        <f t="shared" si="125"/>
        <v>5.6000000000000398E-3</v>
      </c>
      <c r="AB144" s="108">
        <f t="shared" si="126"/>
        <v>1.4400000000000041E-2</v>
      </c>
    </row>
    <row r="145" spans="21:28">
      <c r="U145" s="75">
        <v>10</v>
      </c>
      <c r="V145" s="108">
        <f t="shared" si="121"/>
        <v>9.000000000000041E-4</v>
      </c>
      <c r="W145" s="108">
        <f t="shared" si="122"/>
        <v>0.10239999999999994</v>
      </c>
      <c r="X145" s="108">
        <f t="shared" si="123"/>
        <v>2.5600000000000012E-2</v>
      </c>
      <c r="Z145" s="108">
        <f t="shared" si="124"/>
        <v>1.8000000000000043E-3</v>
      </c>
      <c r="AA145" s="108">
        <f t="shared" si="125"/>
        <v>-3.8399999999999983E-2</v>
      </c>
      <c r="AB145" s="108">
        <f t="shared" si="126"/>
        <v>-4.1599999999999998E-2</v>
      </c>
    </row>
    <row r="147" spans="21:28">
      <c r="U147" s="101" t="s">
        <v>185</v>
      </c>
      <c r="V147" s="108">
        <f>SUM(V136:X145)</f>
        <v>3.0809999999999986</v>
      </c>
      <c r="Z147" s="108">
        <f>SUM(Z136:AB145)</f>
        <v>0.22199999999999995</v>
      </c>
    </row>
    <row r="150" spans="21:28">
      <c r="U150" s="75">
        <v>1</v>
      </c>
      <c r="V150" s="108">
        <f t="shared" ref="V150:V159" si="127">(Z11-$Z$22)*(Z11-$Z$22)</f>
        <v>1.6000000000000001E-3</v>
      </c>
      <c r="W150" s="108">
        <f t="shared" ref="W150:W159" si="128">(AF11-$AF$22)*(AF11-$AF$22)</f>
        <v>1.44E-2</v>
      </c>
      <c r="X150" s="108">
        <f t="shared" ref="X150:X159" si="129">(AL11-$AL$22)*(AL11-$AL$22)</f>
        <v>6.759999999999998E-2</v>
      </c>
    </row>
    <row r="151" spans="21:28">
      <c r="U151" s="75">
        <v>2</v>
      </c>
      <c r="V151" s="108">
        <f t="shared" si="127"/>
        <v>1.6000000000000001E-3</v>
      </c>
      <c r="W151" s="108">
        <f t="shared" si="128"/>
        <v>3.9999999999999628E-4</v>
      </c>
      <c r="X151" s="108">
        <f t="shared" si="129"/>
        <v>1.9599999999999989E-2</v>
      </c>
    </row>
    <row r="152" spans="21:28">
      <c r="U152" s="75">
        <v>3</v>
      </c>
      <c r="V152" s="108">
        <f t="shared" si="127"/>
        <v>1.6000000000000001E-3</v>
      </c>
      <c r="W152" s="108">
        <f t="shared" si="128"/>
        <v>3.9999999999999628E-4</v>
      </c>
      <c r="X152" s="108">
        <f t="shared" si="129"/>
        <v>1.9599999999999989E-2</v>
      </c>
    </row>
    <row r="153" spans="21:28">
      <c r="U153" s="75">
        <v>4</v>
      </c>
      <c r="V153" s="108">
        <f t="shared" si="127"/>
        <v>1.6000000000000001E-3</v>
      </c>
      <c r="W153" s="108">
        <f t="shared" si="128"/>
        <v>4.0000000000000517E-4</v>
      </c>
      <c r="X153" s="108">
        <f t="shared" si="129"/>
        <v>1.6000000000000072E-3</v>
      </c>
    </row>
    <row r="154" spans="21:28">
      <c r="U154" s="75">
        <v>5</v>
      </c>
      <c r="V154" s="108">
        <f t="shared" si="127"/>
        <v>1.6000000000000001E-3</v>
      </c>
      <c r="W154" s="108">
        <f t="shared" si="128"/>
        <v>3.9999999999999628E-4</v>
      </c>
      <c r="X154" s="108">
        <f t="shared" si="129"/>
        <v>1.5999999999999895E-3</v>
      </c>
    </row>
    <row r="155" spans="21:28">
      <c r="U155" s="75">
        <v>6</v>
      </c>
      <c r="V155" s="108">
        <f t="shared" si="127"/>
        <v>2.5600000000000001E-2</v>
      </c>
      <c r="W155" s="108">
        <f t="shared" si="128"/>
        <v>4.0000000000000517E-4</v>
      </c>
      <c r="X155" s="108">
        <f t="shared" si="129"/>
        <v>1.9599999999999989E-2</v>
      </c>
    </row>
    <row r="156" spans="21:28">
      <c r="U156" s="75">
        <v>7</v>
      </c>
      <c r="V156" s="108">
        <f t="shared" si="127"/>
        <v>3.5999999999999973E-3</v>
      </c>
      <c r="W156" s="108">
        <f t="shared" si="128"/>
        <v>6.4000000000000289E-3</v>
      </c>
      <c r="X156" s="108">
        <f t="shared" si="129"/>
        <v>3.5999999999999999E-3</v>
      </c>
    </row>
    <row r="157" spans="21:28">
      <c r="U157" s="75">
        <v>8</v>
      </c>
      <c r="V157" s="108">
        <f t="shared" si="127"/>
        <v>1.6000000000000001E-3</v>
      </c>
      <c r="W157" s="108">
        <f t="shared" si="128"/>
        <v>7.8399999999999956E-2</v>
      </c>
      <c r="X157" s="108">
        <f t="shared" si="129"/>
        <v>1.6000000000000072E-3</v>
      </c>
    </row>
    <row r="158" spans="21:28">
      <c r="U158" s="75">
        <v>9</v>
      </c>
      <c r="V158" s="108">
        <f t="shared" si="127"/>
        <v>1.6000000000000001E-3</v>
      </c>
      <c r="W158" s="108">
        <f t="shared" si="128"/>
        <v>4.0000000000000517E-4</v>
      </c>
      <c r="X158" s="108">
        <f t="shared" si="129"/>
        <v>1.6000000000000072E-3</v>
      </c>
    </row>
    <row r="159" spans="21:28">
      <c r="U159" s="75">
        <v>10</v>
      </c>
      <c r="V159" s="108">
        <f t="shared" si="127"/>
        <v>3.6000000000000008E-3</v>
      </c>
      <c r="W159" s="108">
        <f t="shared" si="128"/>
        <v>1.44E-2</v>
      </c>
      <c r="X159" s="108">
        <f t="shared" si="129"/>
        <v>6.759999999999998E-2</v>
      </c>
    </row>
    <row r="161" spans="21:22">
      <c r="U161" s="101" t="s">
        <v>185</v>
      </c>
      <c r="V161" s="108">
        <f>SUM(V150:X159)</f>
        <v>0.36399999999999988</v>
      </c>
    </row>
  </sheetData>
  <mergeCells count="28">
    <mergeCell ref="BE52:BF52"/>
    <mergeCell ref="BE30:BF30"/>
    <mergeCell ref="CE8:CF8"/>
    <mergeCell ref="CE30:CF30"/>
    <mergeCell ref="BR30:BS30"/>
    <mergeCell ref="BR52:BS52"/>
    <mergeCell ref="CE52:CF52"/>
    <mergeCell ref="AB8:AC8"/>
    <mergeCell ref="AE8:AF8"/>
    <mergeCell ref="AH8:AI8"/>
    <mergeCell ref="AK8:AL8"/>
    <mergeCell ref="BE8:BF8"/>
    <mergeCell ref="BR8:BS8"/>
    <mergeCell ref="B4:F4"/>
    <mergeCell ref="H4:L4"/>
    <mergeCell ref="N4:R4"/>
    <mergeCell ref="V7:Z7"/>
    <mergeCell ref="V8:W8"/>
    <mergeCell ref="Y8:Z8"/>
    <mergeCell ref="AB7:AF7"/>
    <mergeCell ref="AH7:AL7"/>
    <mergeCell ref="V6:AL6"/>
    <mergeCell ref="B5:C5"/>
    <mergeCell ref="E5:F5"/>
    <mergeCell ref="H5:I5"/>
    <mergeCell ref="K5:L5"/>
    <mergeCell ref="N5:O5"/>
    <mergeCell ref="Q5:R5"/>
  </mergeCells>
  <phoneticPr fontId="7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128"/>
  <sheetViews>
    <sheetView workbookViewId="0">
      <selection activeCell="B28" sqref="B28:E33"/>
    </sheetView>
  </sheetViews>
  <sheetFormatPr defaultColWidth="10.75" defaultRowHeight="12.75"/>
  <cols>
    <col min="1" max="2" width="10.75" style="75"/>
    <col min="3" max="7" width="10.125" style="75" customWidth="1"/>
    <col min="8" max="14" width="7.25" style="75" customWidth="1"/>
    <col min="15" max="15" width="1.75" style="75" customWidth="1"/>
    <col min="16" max="16" width="6.25" style="75" customWidth="1"/>
    <col min="17" max="17" width="6.875" style="75" customWidth="1"/>
    <col min="18" max="18" width="6.75" style="75" customWidth="1"/>
    <col min="19" max="19" width="11" style="75" customWidth="1"/>
    <col min="20" max="22" width="6.875" style="75" customWidth="1"/>
    <col min="23" max="24" width="6.25" style="75" customWidth="1"/>
    <col min="25" max="28" width="7.25" style="75" customWidth="1"/>
    <col min="29" max="35" width="9.625" style="75" customWidth="1"/>
    <col min="36" max="16384" width="10.75" style="75"/>
  </cols>
  <sheetData>
    <row r="1" spans="1:32" ht="15.75">
      <c r="A1" s="74" t="s">
        <v>21</v>
      </c>
    </row>
    <row r="4" spans="1:32" ht="13.5" thickBot="1">
      <c r="B4" s="76" t="s">
        <v>22</v>
      </c>
      <c r="C4" s="77"/>
      <c r="D4" s="78"/>
      <c r="E4" s="77"/>
      <c r="F4" s="96"/>
      <c r="G4" s="76" t="s">
        <v>25</v>
      </c>
      <c r="H4" s="77"/>
      <c r="I4" s="78"/>
      <c r="J4" s="77"/>
      <c r="K4" s="77"/>
      <c r="L4" s="77"/>
      <c r="M4" s="77"/>
      <c r="N4" s="77"/>
      <c r="O4" s="77"/>
      <c r="P4" s="77"/>
      <c r="S4" s="77" t="s">
        <v>124</v>
      </c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</row>
    <row r="5" spans="1:32" ht="13.5" thickTop="1">
      <c r="C5" s="81" t="s">
        <v>20</v>
      </c>
      <c r="D5" s="81" t="s">
        <v>12</v>
      </c>
      <c r="E5" s="81" t="s">
        <v>12</v>
      </c>
      <c r="F5" s="81"/>
      <c r="H5" s="65" t="s">
        <v>467</v>
      </c>
      <c r="I5" s="65" t="s">
        <v>468</v>
      </c>
      <c r="J5" s="65" t="s">
        <v>469</v>
      </c>
      <c r="K5" s="65" t="s">
        <v>470</v>
      </c>
      <c r="L5" s="65" t="s">
        <v>247</v>
      </c>
      <c r="M5" s="65" t="s">
        <v>248</v>
      </c>
      <c r="N5" s="65" t="s">
        <v>249</v>
      </c>
      <c r="O5" s="64"/>
      <c r="P5" s="64"/>
      <c r="T5" s="81" t="s">
        <v>20</v>
      </c>
      <c r="U5" s="81" t="s">
        <v>335</v>
      </c>
      <c r="V5" s="112" t="s">
        <v>335</v>
      </c>
      <c r="W5" s="115"/>
      <c r="X5" s="112"/>
      <c r="Y5" s="81" t="s">
        <v>467</v>
      </c>
      <c r="Z5" s="81" t="s">
        <v>468</v>
      </c>
      <c r="AA5" s="81"/>
      <c r="AB5" s="81" t="s">
        <v>469</v>
      </c>
      <c r="AC5" s="81" t="s">
        <v>336</v>
      </c>
      <c r="AD5" s="81" t="s">
        <v>337</v>
      </c>
      <c r="AE5" s="81" t="s">
        <v>338</v>
      </c>
      <c r="AF5" s="81" t="s">
        <v>249</v>
      </c>
    </row>
    <row r="6" spans="1:32">
      <c r="B6" s="103" t="s">
        <v>444</v>
      </c>
      <c r="C6" s="104" t="s">
        <v>173</v>
      </c>
      <c r="D6" s="104" t="s">
        <v>173</v>
      </c>
      <c r="E6" s="104" t="s">
        <v>174</v>
      </c>
      <c r="F6" s="104"/>
      <c r="G6" s="79" t="s">
        <v>444</v>
      </c>
      <c r="H6" s="66" t="s">
        <v>250</v>
      </c>
      <c r="I6" s="66" t="s">
        <v>251</v>
      </c>
      <c r="J6" s="66" t="s">
        <v>252</v>
      </c>
      <c r="K6" s="66" t="s">
        <v>252</v>
      </c>
      <c r="L6" s="66" t="s">
        <v>252</v>
      </c>
      <c r="M6" s="66" t="s">
        <v>253</v>
      </c>
      <c r="N6" s="66" t="s">
        <v>250</v>
      </c>
      <c r="O6" s="67"/>
      <c r="P6" s="66" t="s">
        <v>357</v>
      </c>
      <c r="T6" s="104" t="s">
        <v>333</v>
      </c>
      <c r="U6" s="104" t="s">
        <v>333</v>
      </c>
      <c r="V6" s="113" t="s">
        <v>334</v>
      </c>
      <c r="W6" s="116"/>
      <c r="X6" s="113"/>
      <c r="Y6" s="104" t="s">
        <v>250</v>
      </c>
      <c r="Z6" s="104" t="s">
        <v>252</v>
      </c>
      <c r="AA6" s="104"/>
      <c r="AB6" s="104" t="s">
        <v>252</v>
      </c>
      <c r="AC6" s="104" t="s">
        <v>252</v>
      </c>
      <c r="AD6" s="104" t="s">
        <v>252</v>
      </c>
      <c r="AE6" s="104" t="s">
        <v>253</v>
      </c>
      <c r="AF6" s="104" t="s">
        <v>250</v>
      </c>
    </row>
    <row r="7" spans="1:32">
      <c r="A7" s="75">
        <v>1</v>
      </c>
      <c r="B7" s="82" t="s">
        <v>413</v>
      </c>
      <c r="C7" s="105">
        <v>23.14</v>
      </c>
      <c r="D7" s="105">
        <v>3.5</v>
      </c>
      <c r="E7" s="105">
        <v>3.77</v>
      </c>
      <c r="F7" s="105"/>
      <c r="G7" s="82" t="s">
        <v>413</v>
      </c>
      <c r="H7" s="63">
        <v>8</v>
      </c>
      <c r="I7" s="63">
        <v>5</v>
      </c>
      <c r="J7" s="63">
        <v>3</v>
      </c>
      <c r="K7" s="63">
        <v>10</v>
      </c>
      <c r="L7" s="63">
        <v>4</v>
      </c>
      <c r="M7" s="63">
        <v>5</v>
      </c>
      <c r="N7" s="63">
        <v>1</v>
      </c>
      <c r="O7" s="63"/>
      <c r="P7" s="63">
        <v>36</v>
      </c>
      <c r="S7" s="75" t="s">
        <v>29</v>
      </c>
      <c r="T7" s="86">
        <f>PEARSON(C40:C59,C40:C59)</f>
        <v>1</v>
      </c>
      <c r="U7" s="86">
        <f>T8</f>
        <v>0.87097528720463224</v>
      </c>
      <c r="V7" s="110">
        <f>T9</f>
        <v>0.84042164414847742</v>
      </c>
      <c r="W7" s="116"/>
      <c r="X7" s="110"/>
      <c r="Y7" s="111">
        <f>T12</f>
        <v>-0.37850597695857435</v>
      </c>
      <c r="Z7" s="111">
        <f>T13</f>
        <v>-9.5977134014136475E-2</v>
      </c>
      <c r="AA7" s="111"/>
      <c r="AB7" s="111">
        <f>T14</f>
        <v>-4.2433603694985868E-2</v>
      </c>
      <c r="AC7" s="111">
        <f>T15</f>
        <v>-0.30257790500223131</v>
      </c>
      <c r="AD7" s="111">
        <f>T16</f>
        <v>-2.8310102444265496E-2</v>
      </c>
      <c r="AE7" s="111">
        <f>T17</f>
        <v>-7.0008356035835578E-2</v>
      </c>
      <c r="AF7" s="111">
        <f>T18</f>
        <v>0.32624860396313071</v>
      </c>
    </row>
    <row r="8" spans="1:32">
      <c r="A8" s="75">
        <v>2</v>
      </c>
      <c r="B8" s="82" t="s">
        <v>414</v>
      </c>
      <c r="C8" s="105">
        <v>14.32</v>
      </c>
      <c r="D8" s="105">
        <v>3.97</v>
      </c>
      <c r="E8" s="105">
        <v>4.08</v>
      </c>
      <c r="F8" s="105"/>
      <c r="G8" s="82" t="s">
        <v>414</v>
      </c>
      <c r="H8" s="63">
        <v>6</v>
      </c>
      <c r="I8" s="63">
        <v>6</v>
      </c>
      <c r="J8" s="63">
        <v>5</v>
      </c>
      <c r="K8" s="63">
        <v>10</v>
      </c>
      <c r="L8" s="63">
        <v>2</v>
      </c>
      <c r="M8" s="63">
        <v>3</v>
      </c>
      <c r="N8" s="63">
        <v>1</v>
      </c>
      <c r="O8" s="63"/>
      <c r="P8" s="63">
        <v>33</v>
      </c>
      <c r="S8" s="75" t="s">
        <v>30</v>
      </c>
      <c r="T8" s="86">
        <f>PEARSON(C40:C59,D40:D59)</f>
        <v>0.87097528720463224</v>
      </c>
      <c r="U8" s="86">
        <f>PEARSON(D40:D59,D40:D59)</f>
        <v>1</v>
      </c>
      <c r="V8" s="110">
        <f>U9</f>
        <v>0.91014457083988531</v>
      </c>
      <c r="W8" s="116"/>
      <c r="X8" s="110"/>
      <c r="Y8" s="111">
        <f>U12</f>
        <v>-0.48306927739997546</v>
      </c>
      <c r="Z8" s="111">
        <f>U13</f>
        <v>-0.21374230407458661</v>
      </c>
      <c r="AA8" s="111"/>
      <c r="AB8" s="111">
        <f>U14</f>
        <v>-0.29330924873246039</v>
      </c>
      <c r="AC8" s="111">
        <f>U15</f>
        <v>-0.4651681566517486</v>
      </c>
      <c r="AD8" s="111">
        <f>U16</f>
        <v>0.10822311506617877</v>
      </c>
      <c r="AE8" s="111">
        <f>U17</f>
        <v>5.9744974692788159E-2</v>
      </c>
      <c r="AF8" s="111">
        <f>U18</f>
        <v>0.53565585642749602</v>
      </c>
    </row>
    <row r="9" spans="1:32">
      <c r="A9" s="75">
        <v>3</v>
      </c>
      <c r="B9" s="82" t="s">
        <v>415</v>
      </c>
      <c r="C9" s="105">
        <v>51.69</v>
      </c>
      <c r="D9" s="105">
        <v>10.91</v>
      </c>
      <c r="E9" s="105">
        <v>10.72</v>
      </c>
      <c r="F9" s="105"/>
      <c r="G9" s="82" t="s">
        <v>415</v>
      </c>
      <c r="H9" s="63">
        <v>8</v>
      </c>
      <c r="I9" s="63">
        <v>7</v>
      </c>
      <c r="J9" s="63">
        <v>7</v>
      </c>
      <c r="K9" s="63">
        <v>13</v>
      </c>
      <c r="L9" s="63">
        <v>2</v>
      </c>
      <c r="M9" s="63">
        <v>2</v>
      </c>
      <c r="N9" s="63">
        <v>1</v>
      </c>
      <c r="O9" s="63"/>
      <c r="P9" s="63">
        <v>40</v>
      </c>
      <c r="S9" s="96" t="s">
        <v>442</v>
      </c>
      <c r="T9" s="110">
        <f>PEARSON(C40:C59,E40:E59)</f>
        <v>0.84042164414847742</v>
      </c>
      <c r="U9" s="110">
        <f>PEARSON(D40:D59,E40:E59)</f>
        <v>0.91014457083988531</v>
      </c>
      <c r="V9" s="110">
        <f>PEARSON(E40:E59,E40:E59)</f>
        <v>1</v>
      </c>
      <c r="W9" s="116"/>
      <c r="X9" s="110"/>
      <c r="Y9" s="114">
        <f>V12</f>
        <v>-0.4265262654427156</v>
      </c>
      <c r="Z9" s="114">
        <f>V13</f>
        <v>-7.6429333042364891E-2</v>
      </c>
      <c r="AA9" s="114"/>
      <c r="AB9" s="114">
        <f>V14</f>
        <v>-0.13794907661166272</v>
      </c>
      <c r="AC9" s="114">
        <f>V15</f>
        <v>-0.34634307048335139</v>
      </c>
      <c r="AD9" s="114">
        <f>V16</f>
        <v>3.476604494328564E-2</v>
      </c>
      <c r="AE9" s="114">
        <f>V17</f>
        <v>-1.2958183860409518E-2</v>
      </c>
      <c r="AF9" s="114">
        <f>V18</f>
        <v>0.3901990127836476</v>
      </c>
    </row>
    <row r="10" spans="1:32">
      <c r="A10" s="75">
        <v>4</v>
      </c>
      <c r="B10" s="82" t="s">
        <v>416</v>
      </c>
      <c r="C10" s="105">
        <v>21.15</v>
      </c>
      <c r="D10" s="105">
        <v>4.9000000000000004</v>
      </c>
      <c r="E10" s="105">
        <v>4.6900000000000004</v>
      </c>
      <c r="F10" s="105"/>
      <c r="G10" s="82" t="s">
        <v>416</v>
      </c>
      <c r="H10" s="63">
        <v>10</v>
      </c>
      <c r="I10" s="63">
        <v>1</v>
      </c>
      <c r="J10" s="63">
        <v>1</v>
      </c>
      <c r="K10" s="63">
        <v>10</v>
      </c>
      <c r="L10" s="63">
        <v>10</v>
      </c>
      <c r="M10" s="63">
        <v>11</v>
      </c>
      <c r="N10" s="63">
        <v>4</v>
      </c>
      <c r="O10" s="63"/>
      <c r="P10" s="63">
        <v>47</v>
      </c>
      <c r="S10" s="85"/>
      <c r="T10" s="85"/>
      <c r="U10" s="85"/>
      <c r="V10" s="85"/>
      <c r="W10" s="117" t="s">
        <v>128</v>
      </c>
      <c r="X10" s="118" t="s">
        <v>130</v>
      </c>
      <c r="Y10" s="85"/>
      <c r="Z10" s="85"/>
      <c r="AA10" s="85"/>
      <c r="AB10" s="85"/>
      <c r="AC10" s="85"/>
      <c r="AD10" s="85"/>
      <c r="AE10" s="85"/>
      <c r="AF10" s="85"/>
    </row>
    <row r="11" spans="1:32">
      <c r="A11" s="75">
        <v>5</v>
      </c>
      <c r="B11" s="82" t="s">
        <v>417</v>
      </c>
      <c r="C11" s="105">
        <f>21.16+(21.16/2)</f>
        <v>31.740000000000002</v>
      </c>
      <c r="D11" s="105">
        <v>9.33</v>
      </c>
      <c r="E11" s="105">
        <v>12.11</v>
      </c>
      <c r="F11" s="105"/>
      <c r="G11" s="82" t="s">
        <v>417</v>
      </c>
      <c r="H11" s="63">
        <v>10</v>
      </c>
      <c r="I11" s="63">
        <v>9</v>
      </c>
      <c r="J11" s="63">
        <v>1</v>
      </c>
      <c r="K11" s="63">
        <v>14</v>
      </c>
      <c r="L11" s="63">
        <v>13</v>
      </c>
      <c r="M11" s="63">
        <v>19</v>
      </c>
      <c r="N11" s="63">
        <v>2</v>
      </c>
      <c r="O11" s="63"/>
      <c r="P11" s="63">
        <v>68</v>
      </c>
      <c r="S11" s="96"/>
      <c r="T11" s="110"/>
      <c r="U11" s="110"/>
      <c r="V11" s="110"/>
      <c r="W11" s="120" t="s">
        <v>129</v>
      </c>
      <c r="X11" s="100" t="s">
        <v>131</v>
      </c>
      <c r="Y11" s="119"/>
      <c r="Z11" s="119"/>
      <c r="AA11" s="119"/>
      <c r="AB11" s="119"/>
      <c r="AC11" s="119"/>
      <c r="AD11" s="119"/>
      <c r="AE11" s="119"/>
      <c r="AF11" s="119"/>
    </row>
    <row r="12" spans="1:32">
      <c r="A12" s="75">
        <v>6</v>
      </c>
      <c r="B12" s="82" t="s">
        <v>179</v>
      </c>
      <c r="C12" s="105">
        <v>36.81</v>
      </c>
      <c r="D12" s="105">
        <v>11.35</v>
      </c>
      <c r="E12" s="105">
        <v>10.1</v>
      </c>
      <c r="F12" s="105"/>
      <c r="G12" s="82" t="s">
        <v>179</v>
      </c>
      <c r="H12" s="63">
        <v>9</v>
      </c>
      <c r="I12" s="63">
        <v>3</v>
      </c>
      <c r="J12" s="63">
        <v>1</v>
      </c>
      <c r="K12" s="63">
        <v>9</v>
      </c>
      <c r="L12" s="63">
        <v>8</v>
      </c>
      <c r="M12" s="63">
        <v>10</v>
      </c>
      <c r="N12" s="63">
        <v>3</v>
      </c>
      <c r="O12" s="63"/>
      <c r="P12" s="63">
        <v>43</v>
      </c>
      <c r="S12" s="75" t="s">
        <v>125</v>
      </c>
      <c r="T12" s="86">
        <f>PEARSON(C40:C59,H34:H53)</f>
        <v>-0.37850597695857435</v>
      </c>
      <c r="U12" s="86">
        <f>PEARSON(D40:D59,H34:H53)</f>
        <v>-0.48306927739997546</v>
      </c>
      <c r="V12" s="110">
        <f>PEARSON(E40:E59,H34:H53)</f>
        <v>-0.4265262654427156</v>
      </c>
      <c r="W12" s="116"/>
      <c r="X12" s="110"/>
      <c r="Y12" s="86">
        <f>PEARSON(H34:H53,H34:H53)</f>
        <v>1</v>
      </c>
      <c r="Z12" s="86">
        <f>Y13</f>
        <v>0.50127331285741794</v>
      </c>
      <c r="AA12" s="86"/>
      <c r="AB12" s="86">
        <f>Y14</f>
        <v>0.23216529973303029</v>
      </c>
      <c r="AC12" s="86">
        <f>Y15</f>
        <v>1.4201797802726209E-2</v>
      </c>
      <c r="AD12" s="86">
        <f>Y16</f>
        <v>0.33052744343406132</v>
      </c>
      <c r="AE12" s="86">
        <f>Y17</f>
        <v>0.32418378046273161</v>
      </c>
      <c r="AF12" s="86">
        <f>Y18</f>
        <v>-0.5701967302095875</v>
      </c>
    </row>
    <row r="13" spans="1:32">
      <c r="A13" s="75">
        <v>7</v>
      </c>
      <c r="B13" s="82" t="s">
        <v>400</v>
      </c>
      <c r="C13" s="105">
        <f>16.75+(16.75/2)</f>
        <v>25.125</v>
      </c>
      <c r="D13" s="105">
        <v>6.39</v>
      </c>
      <c r="E13" s="105">
        <v>6.81</v>
      </c>
      <c r="F13" s="105"/>
      <c r="G13" s="82" t="s">
        <v>400</v>
      </c>
      <c r="H13" s="63">
        <v>5</v>
      </c>
      <c r="I13" s="63">
        <v>4</v>
      </c>
      <c r="J13" s="63">
        <v>1</v>
      </c>
      <c r="K13" s="63">
        <v>7</v>
      </c>
      <c r="L13" s="63">
        <v>6</v>
      </c>
      <c r="M13" s="63">
        <v>9</v>
      </c>
      <c r="N13" s="63">
        <v>3</v>
      </c>
      <c r="O13" s="63"/>
      <c r="P13" s="63">
        <v>35</v>
      </c>
      <c r="S13" s="75" t="s">
        <v>371</v>
      </c>
      <c r="T13" s="86">
        <f>PEARSON(C40:C59,I34:I53)</f>
        <v>-9.5977134014136475E-2</v>
      </c>
      <c r="U13" s="86">
        <f>PEARSON(D40:D59,I34:I53)</f>
        <v>-0.21374230407458661</v>
      </c>
      <c r="V13" s="110">
        <f>PEARSON(E40:E59,I34:I53)</f>
        <v>-7.6429333042364891E-2</v>
      </c>
      <c r="W13" s="116"/>
      <c r="X13" s="110"/>
      <c r="Y13" s="86">
        <f>PEARSON(H34:H53,I34:I53)</f>
        <v>0.50127331285741794</v>
      </c>
      <c r="Z13" s="86">
        <f>PEARSON(I34:I53,I34:I53)</f>
        <v>1.0000000000000002</v>
      </c>
      <c r="AA13" s="86"/>
      <c r="AB13" s="86">
        <f>Z14</f>
        <v>0.51631517171549013</v>
      </c>
      <c r="AC13" s="86">
        <f>Z15</f>
        <v>0.75138564795627794</v>
      </c>
      <c r="AD13" s="86">
        <f>Z16</f>
        <v>1.3436428348216437E-2</v>
      </c>
      <c r="AE13" s="86">
        <f>Z17</f>
        <v>0.14094088806809296</v>
      </c>
      <c r="AF13" s="86">
        <f>Z18</f>
        <v>-0.67951675384204469</v>
      </c>
    </row>
    <row r="14" spans="1:32">
      <c r="A14" s="75">
        <v>8</v>
      </c>
      <c r="B14" s="82" t="s">
        <v>14</v>
      </c>
      <c r="C14" s="105">
        <v>32.93</v>
      </c>
      <c r="D14" s="105">
        <v>8.4600000000000009</v>
      </c>
      <c r="E14" s="105">
        <v>6.08</v>
      </c>
      <c r="F14" s="105"/>
      <c r="G14" s="82" t="s">
        <v>14</v>
      </c>
      <c r="H14" s="63">
        <v>6</v>
      </c>
      <c r="I14" s="63">
        <v>4</v>
      </c>
      <c r="J14" s="63">
        <v>1</v>
      </c>
      <c r="K14" s="63">
        <v>7</v>
      </c>
      <c r="L14" s="63">
        <v>5</v>
      </c>
      <c r="M14" s="63">
        <v>7</v>
      </c>
      <c r="N14" s="63">
        <v>2</v>
      </c>
      <c r="O14" s="63"/>
      <c r="P14" s="63">
        <v>32</v>
      </c>
      <c r="S14" s="75" t="s">
        <v>372</v>
      </c>
      <c r="T14" s="86">
        <f>PEARSON(C40:C59,J34:J53)</f>
        <v>-4.2433603694985868E-2</v>
      </c>
      <c r="U14" s="86">
        <f>PEARSON(D40:D59,J34:J53)</f>
        <v>-0.29330924873246039</v>
      </c>
      <c r="V14" s="110">
        <f>PEARSON(E40:E59,J34:J53)</f>
        <v>-0.13794907661166272</v>
      </c>
      <c r="W14" s="116"/>
      <c r="X14" s="110"/>
      <c r="Y14" s="86">
        <f>PEARSON(H34:H53,J34:J53)</f>
        <v>0.23216529973303029</v>
      </c>
      <c r="Z14" s="86">
        <f>PEARSON(I34:I53,J34:J53)</f>
        <v>0.51631517171549013</v>
      </c>
      <c r="AA14" s="86"/>
      <c r="AB14" s="86">
        <f>PEARSON(J34:J53,J34:J53)</f>
        <v>1</v>
      </c>
      <c r="AC14" s="86">
        <f>AB15</f>
        <v>0.50567692619297822</v>
      </c>
      <c r="AD14" s="86">
        <f>AB16</f>
        <v>-0.71134504415450728</v>
      </c>
      <c r="AE14" s="86">
        <f>AB17</f>
        <v>-0.66728754985476002</v>
      </c>
      <c r="AF14" s="86">
        <f>AB18</f>
        <v>-0.78473347237094948</v>
      </c>
    </row>
    <row r="15" spans="1:32">
      <c r="A15" s="75">
        <v>9</v>
      </c>
      <c r="B15" s="82" t="s">
        <v>376</v>
      </c>
      <c r="C15" s="105">
        <v>21.81</v>
      </c>
      <c r="D15" s="105">
        <v>6.92</v>
      </c>
      <c r="E15" s="105">
        <v>9.01</v>
      </c>
      <c r="F15" s="105"/>
      <c r="G15" s="82" t="s">
        <v>376</v>
      </c>
      <c r="H15" s="63">
        <v>9</v>
      </c>
      <c r="I15" s="63">
        <v>7</v>
      </c>
      <c r="J15" s="63">
        <v>3</v>
      </c>
      <c r="K15" s="63">
        <v>12</v>
      </c>
      <c r="L15" s="63">
        <v>4</v>
      </c>
      <c r="M15" s="63">
        <v>5</v>
      </c>
      <c r="N15" s="63">
        <v>1</v>
      </c>
      <c r="O15" s="63"/>
      <c r="P15" s="63">
        <v>41</v>
      </c>
      <c r="S15" s="75" t="s">
        <v>126</v>
      </c>
      <c r="T15" s="86">
        <f>PEARSON(C40:C59,K34:K53)</f>
        <v>-0.30257790500223131</v>
      </c>
      <c r="U15" s="86">
        <f>PEARSON(D40:D59,K34:K53)</f>
        <v>-0.4651681566517486</v>
      </c>
      <c r="V15" s="110">
        <f>PEARSON(E40:E59,K34:K53)</f>
        <v>-0.34634307048335139</v>
      </c>
      <c r="W15" s="116"/>
      <c r="X15" s="110"/>
      <c r="Y15" s="86">
        <f>PEARSON(H34:H53,K35:K54)</f>
        <v>1.4201797802726209E-2</v>
      </c>
      <c r="Z15" s="86">
        <f>PEARSON(I34:I53,K34:K53)</f>
        <v>0.75138564795627794</v>
      </c>
      <c r="AA15" s="86"/>
      <c r="AB15" s="86">
        <f>PEARSON(J34:J53,K34:K53)</f>
        <v>0.50567692619297822</v>
      </c>
      <c r="AC15" s="86">
        <f>PEARSON(K34:K53,K34:K53)</f>
        <v>1</v>
      </c>
      <c r="AD15" s="86">
        <f>AC16</f>
        <v>0.1321322559628364</v>
      </c>
      <c r="AE15" s="86">
        <f>AC17</f>
        <v>0.17314594860652097</v>
      </c>
      <c r="AF15" s="86">
        <f>AC18</f>
        <v>-0.7386016003160345</v>
      </c>
    </row>
    <row r="16" spans="1:32">
      <c r="A16" s="75">
        <v>10</v>
      </c>
      <c r="B16" s="82" t="s">
        <v>16</v>
      </c>
      <c r="C16" s="105">
        <v>13.88</v>
      </c>
      <c r="D16" s="105">
        <v>5.03</v>
      </c>
      <c r="E16" s="105">
        <v>4.34</v>
      </c>
      <c r="F16" s="105"/>
      <c r="G16" s="82" t="s">
        <v>16</v>
      </c>
      <c r="H16" s="63">
        <v>9</v>
      </c>
      <c r="I16" s="63">
        <v>5</v>
      </c>
      <c r="J16" s="63">
        <v>1</v>
      </c>
      <c r="K16" s="63">
        <v>10</v>
      </c>
      <c r="L16" s="63">
        <v>8</v>
      </c>
      <c r="M16" s="63">
        <v>10</v>
      </c>
      <c r="N16" s="63">
        <v>2</v>
      </c>
      <c r="O16" s="63"/>
      <c r="P16" s="63">
        <v>45</v>
      </c>
      <c r="S16" s="75" t="s">
        <v>331</v>
      </c>
      <c r="T16" s="86">
        <f>PEARSON(C40:C59,L34:L53)</f>
        <v>-2.8310102444265496E-2</v>
      </c>
      <c r="U16" s="86">
        <f>PEARSON(D40:D59,L34:L53)</f>
        <v>0.10822311506617877</v>
      </c>
      <c r="V16" s="110">
        <f>PEARSON(E40:E59,L34:L53)</f>
        <v>3.476604494328564E-2</v>
      </c>
      <c r="W16" s="116"/>
      <c r="X16" s="110"/>
      <c r="Y16" s="86">
        <f>PEARSON(H34:H53,L34:L53)</f>
        <v>0.33052744343406132</v>
      </c>
      <c r="Z16" s="86">
        <f>PEARSON(I34:I53,L34:L53)</f>
        <v>1.3436428348216437E-2</v>
      </c>
      <c r="AA16" s="86"/>
      <c r="AB16" s="86">
        <f>PEARSON(J34:J53,L34:L53)</f>
        <v>-0.71134504415450728</v>
      </c>
      <c r="AC16" s="86">
        <f>PEARSON(K34:K53,L34:L53)</f>
        <v>0.1321322559628364</v>
      </c>
      <c r="AD16" s="86">
        <f>PEARSON(L34:L53,L34:L53)</f>
        <v>0.99999999999999989</v>
      </c>
      <c r="AE16" s="86">
        <f>AD17</f>
        <v>0.97866536665828718</v>
      </c>
      <c r="AF16" s="86">
        <f>AD18</f>
        <v>0.47237377467449126</v>
      </c>
    </row>
    <row r="17" spans="1:32">
      <c r="A17" s="75">
        <v>11</v>
      </c>
      <c r="B17" s="82" t="s">
        <v>377</v>
      </c>
      <c r="C17" s="105">
        <v>21.43</v>
      </c>
      <c r="D17" s="105">
        <v>7.03</v>
      </c>
      <c r="E17" s="105">
        <v>6.79</v>
      </c>
      <c r="F17" s="105"/>
      <c r="G17" s="82" t="s">
        <v>377</v>
      </c>
      <c r="H17" s="63">
        <v>5</v>
      </c>
      <c r="I17" s="63">
        <v>3</v>
      </c>
      <c r="J17" s="63">
        <v>2</v>
      </c>
      <c r="K17" s="63">
        <v>6</v>
      </c>
      <c r="L17" s="63">
        <v>3</v>
      </c>
      <c r="M17" s="63">
        <v>4</v>
      </c>
      <c r="N17" s="63">
        <v>2</v>
      </c>
      <c r="O17" s="63"/>
      <c r="P17" s="63">
        <v>25</v>
      </c>
      <c r="S17" s="75" t="s">
        <v>332</v>
      </c>
      <c r="T17" s="86">
        <f>PEARSON(C40:C59,M34:M53)</f>
        <v>-7.0008356035835578E-2</v>
      </c>
      <c r="U17" s="86">
        <f>PEARSON(D40:D59,M34:M53)</f>
        <v>5.9744974692788159E-2</v>
      </c>
      <c r="V17" s="110">
        <f>PEARSON(E40:E59,M34:M53)</f>
        <v>-1.2958183860409518E-2</v>
      </c>
      <c r="W17" s="116"/>
      <c r="X17" s="110"/>
      <c r="Y17" s="86">
        <f>PEARSON(H34:H53,M34:M53)</f>
        <v>0.32418378046273161</v>
      </c>
      <c r="Z17" s="86">
        <f>PEARSON(I34:I53,M34:M53)</f>
        <v>0.14094088806809296</v>
      </c>
      <c r="AA17" s="86"/>
      <c r="AB17" s="86">
        <f>PEARSON(J34:J53,M34:M53)</f>
        <v>-0.66728754985476002</v>
      </c>
      <c r="AC17" s="86">
        <f>PEARSON(K34:K53,M34:M53)</f>
        <v>0.17314594860652097</v>
      </c>
      <c r="AD17" s="86">
        <f>PEARSON(L34:L53,M34:M53)</f>
        <v>0.97866536665828718</v>
      </c>
      <c r="AE17" s="86">
        <f>PEARSON(M34:M53,M34:M53)</f>
        <v>1</v>
      </c>
      <c r="AF17" s="86">
        <f>AE18</f>
        <v>0.39500697853361327</v>
      </c>
    </row>
    <row r="18" spans="1:32">
      <c r="A18" s="75">
        <v>12</v>
      </c>
      <c r="B18" s="82" t="s">
        <v>272</v>
      </c>
      <c r="C18" s="105">
        <f>15.13+(15.13*0.8)</f>
        <v>27.234000000000002</v>
      </c>
      <c r="D18" s="105">
        <v>5.3</v>
      </c>
      <c r="E18" s="105">
        <v>8.19</v>
      </c>
      <c r="F18" s="105"/>
      <c r="G18" s="82" t="s">
        <v>272</v>
      </c>
      <c r="H18" s="63">
        <v>9</v>
      </c>
      <c r="I18" s="63">
        <v>7</v>
      </c>
      <c r="J18" s="63">
        <v>3</v>
      </c>
      <c r="K18" s="63">
        <v>12</v>
      </c>
      <c r="L18" s="63">
        <v>5</v>
      </c>
      <c r="M18" s="63">
        <v>6</v>
      </c>
      <c r="N18" s="63">
        <v>1</v>
      </c>
      <c r="O18" s="63"/>
      <c r="P18" s="63">
        <v>43</v>
      </c>
      <c r="S18" s="75" t="s">
        <v>341</v>
      </c>
      <c r="T18" s="86">
        <f>PEARSON(C40:C59,N34:N53)</f>
        <v>0.32624860396313071</v>
      </c>
      <c r="U18" s="86">
        <f>PEARSON(D40:D59,N34:N53)</f>
        <v>0.53565585642749602</v>
      </c>
      <c r="V18" s="110">
        <f>PEARSON(E40:E59,N34:N53)</f>
        <v>0.3901990127836476</v>
      </c>
      <c r="W18" s="116"/>
      <c r="X18" s="110"/>
      <c r="Y18" s="86">
        <f>PEARSON(H34:H53,N34:N53)</f>
        <v>-0.5701967302095875</v>
      </c>
      <c r="Z18" s="86">
        <f>PEARSON(I34:I53,N34:N53)</f>
        <v>-0.67951675384204469</v>
      </c>
      <c r="AA18" s="86"/>
      <c r="AB18" s="86">
        <f>PEARSON(J34:J53,N34:N53)</f>
        <v>-0.78473347237094948</v>
      </c>
      <c r="AC18" s="86">
        <f>PEARSON(K34:K53,N34:N53)</f>
        <v>-0.7386016003160345</v>
      </c>
      <c r="AD18" s="86">
        <f>PEARSON(L34:L53,N34:N53)</f>
        <v>0.47237377467449126</v>
      </c>
      <c r="AE18" s="86">
        <f>PEARSON(M34:M53,N34:N53)</f>
        <v>0.39500697853361327</v>
      </c>
      <c r="AF18" s="86">
        <f>PEARSON(N34:N53,N34:N53)</f>
        <v>1</v>
      </c>
    </row>
    <row r="19" spans="1:32">
      <c r="A19" s="75">
        <v>13</v>
      </c>
      <c r="B19" s="82" t="s">
        <v>221</v>
      </c>
      <c r="C19" s="105">
        <v>38.15</v>
      </c>
      <c r="D19" s="105">
        <v>9.4</v>
      </c>
      <c r="E19" s="105">
        <v>8.7100000000000009</v>
      </c>
      <c r="F19" s="105"/>
      <c r="G19" s="82" t="s">
        <v>221</v>
      </c>
      <c r="H19" s="63">
        <v>6</v>
      </c>
      <c r="I19" s="63">
        <v>6</v>
      </c>
      <c r="J19" s="63">
        <v>2</v>
      </c>
      <c r="K19" s="63">
        <v>8</v>
      </c>
      <c r="L19" s="63">
        <v>5</v>
      </c>
      <c r="M19" s="63">
        <v>7</v>
      </c>
      <c r="N19" s="63">
        <v>2</v>
      </c>
      <c r="O19" s="63"/>
      <c r="P19" s="63">
        <v>36</v>
      </c>
    </row>
    <row r="20" spans="1:32">
      <c r="A20" s="75">
        <v>14</v>
      </c>
      <c r="B20" s="82" t="s">
        <v>181</v>
      </c>
      <c r="C20" s="105">
        <v>40.11</v>
      </c>
      <c r="D20" s="105">
        <v>14.98</v>
      </c>
      <c r="E20" s="105">
        <v>12.98</v>
      </c>
      <c r="F20" s="105"/>
      <c r="G20" s="82" t="s">
        <v>181</v>
      </c>
      <c r="H20" s="63">
        <v>3</v>
      </c>
      <c r="I20" s="63">
        <v>1</v>
      </c>
      <c r="J20" s="63">
        <v>0</v>
      </c>
      <c r="K20" s="63">
        <v>3</v>
      </c>
      <c r="L20" s="63">
        <v>8</v>
      </c>
      <c r="M20" s="63">
        <v>9</v>
      </c>
      <c r="N20" s="63">
        <v>8</v>
      </c>
      <c r="O20" s="63"/>
      <c r="P20" s="63">
        <v>32</v>
      </c>
    </row>
    <row r="21" spans="1:32">
      <c r="A21" s="75">
        <v>15</v>
      </c>
      <c r="B21" s="82" t="s">
        <v>182</v>
      </c>
      <c r="C21" s="105">
        <v>62.17</v>
      </c>
      <c r="D21" s="105">
        <v>12.25</v>
      </c>
      <c r="E21" s="105">
        <v>8.7100000000000009</v>
      </c>
      <c r="F21" s="105"/>
      <c r="G21" s="82" t="s">
        <v>182</v>
      </c>
      <c r="H21" s="63">
        <v>10</v>
      </c>
      <c r="I21" s="63">
        <v>9</v>
      </c>
      <c r="J21" s="63">
        <v>2</v>
      </c>
      <c r="K21" s="63">
        <v>14</v>
      </c>
      <c r="L21" s="63">
        <v>9</v>
      </c>
      <c r="M21" s="63">
        <v>13</v>
      </c>
      <c r="N21" s="63">
        <v>2</v>
      </c>
      <c r="O21" s="63"/>
      <c r="P21" s="63">
        <v>59</v>
      </c>
      <c r="S21" s="75" t="s">
        <v>127</v>
      </c>
    </row>
    <row r="22" spans="1:32">
      <c r="A22" s="75">
        <v>16</v>
      </c>
      <c r="B22" s="82" t="s">
        <v>156</v>
      </c>
      <c r="C22" s="105">
        <v>55.94</v>
      </c>
      <c r="D22" s="105">
        <v>19</v>
      </c>
      <c r="E22" s="105">
        <v>13.1</v>
      </c>
      <c r="F22" s="105"/>
      <c r="G22" s="82" t="s">
        <v>156</v>
      </c>
      <c r="H22" s="63">
        <v>6</v>
      </c>
      <c r="I22" s="63">
        <v>1</v>
      </c>
      <c r="J22" s="63">
        <v>1</v>
      </c>
      <c r="K22" s="63">
        <v>6</v>
      </c>
      <c r="L22" s="63">
        <v>5</v>
      </c>
      <c r="M22" s="63">
        <v>5</v>
      </c>
      <c r="N22" s="63">
        <v>3</v>
      </c>
      <c r="O22" s="63"/>
      <c r="P22" s="63">
        <v>27</v>
      </c>
      <c r="T22" s="103" t="s">
        <v>396</v>
      </c>
      <c r="U22" s="103" t="s">
        <v>397</v>
      </c>
      <c r="V22" s="102" t="s">
        <v>132</v>
      </c>
      <c r="W22" s="102" t="s">
        <v>133</v>
      </c>
    </row>
    <row r="23" spans="1:32">
      <c r="A23" s="75">
        <v>17</v>
      </c>
      <c r="B23" s="82" t="s">
        <v>157</v>
      </c>
      <c r="C23" s="105">
        <v>23.31</v>
      </c>
      <c r="D23" s="105">
        <v>3.84</v>
      </c>
      <c r="E23" s="105">
        <v>4.5999999999999996</v>
      </c>
      <c r="F23" s="105"/>
      <c r="G23" s="82" t="s">
        <v>157</v>
      </c>
      <c r="H23" s="63">
        <v>7</v>
      </c>
      <c r="I23" s="63">
        <v>2</v>
      </c>
      <c r="J23" s="63">
        <v>2</v>
      </c>
      <c r="K23" s="63">
        <v>8</v>
      </c>
      <c r="L23" s="63">
        <v>4</v>
      </c>
      <c r="M23" s="63">
        <v>5</v>
      </c>
      <c r="N23" s="63">
        <v>2</v>
      </c>
      <c r="O23" s="63"/>
      <c r="P23" s="63">
        <v>30</v>
      </c>
      <c r="S23" s="75">
        <v>1</v>
      </c>
      <c r="T23" s="86">
        <v>1.3099400000000001</v>
      </c>
      <c r="U23" s="86">
        <f>T23^2</f>
        <v>1.7159428036000002</v>
      </c>
      <c r="V23" s="86">
        <f>(U23/U26)*100</f>
        <v>97.691311131869725</v>
      </c>
      <c r="W23" s="86">
        <f>V23</f>
        <v>97.691311131869725</v>
      </c>
      <c r="AE23" s="86"/>
    </row>
    <row r="24" spans="1:32">
      <c r="A24" s="75">
        <v>18</v>
      </c>
      <c r="B24" s="82" t="s">
        <v>10</v>
      </c>
      <c r="C24" s="105">
        <v>46.12</v>
      </c>
      <c r="D24" s="105">
        <v>8.15</v>
      </c>
      <c r="E24" s="105">
        <v>11.42</v>
      </c>
      <c r="F24" s="105"/>
      <c r="G24" s="82" t="s">
        <v>10</v>
      </c>
      <c r="H24" s="63">
        <v>7</v>
      </c>
      <c r="I24" s="63">
        <v>5</v>
      </c>
      <c r="J24" s="63">
        <v>4</v>
      </c>
      <c r="K24" s="63">
        <v>10</v>
      </c>
      <c r="L24" s="63">
        <v>3</v>
      </c>
      <c r="M24" s="63">
        <v>3</v>
      </c>
      <c r="N24" s="63">
        <v>1</v>
      </c>
      <c r="O24" s="63"/>
      <c r="P24" s="63">
        <v>33</v>
      </c>
      <c r="S24" s="75">
        <v>2</v>
      </c>
      <c r="T24" s="86">
        <v>0.19400000000000001</v>
      </c>
      <c r="U24" s="86">
        <f>T24^2</f>
        <v>3.7636000000000003E-2</v>
      </c>
      <c r="V24" s="86">
        <f>(U24/U26)*100</f>
        <v>2.142676421408344</v>
      </c>
      <c r="W24" s="86">
        <f>W23+V24</f>
        <v>99.833987553278064</v>
      </c>
      <c r="AE24" s="86"/>
    </row>
    <row r="25" spans="1:32">
      <c r="A25" s="75">
        <v>19</v>
      </c>
      <c r="B25" s="82" t="s">
        <v>158</v>
      </c>
      <c r="C25" s="105">
        <v>89.43</v>
      </c>
      <c r="D25" s="105">
        <v>23.18</v>
      </c>
      <c r="E25" s="105">
        <v>21.52</v>
      </c>
      <c r="F25" s="105"/>
      <c r="G25" s="82" t="s">
        <v>158</v>
      </c>
      <c r="H25" s="63">
        <v>2</v>
      </c>
      <c r="I25" s="63">
        <v>2</v>
      </c>
      <c r="J25" s="63">
        <v>2</v>
      </c>
      <c r="K25" s="63">
        <v>3</v>
      </c>
      <c r="L25" s="63">
        <v>2</v>
      </c>
      <c r="M25" s="63">
        <v>2</v>
      </c>
      <c r="N25" s="63">
        <v>4</v>
      </c>
      <c r="O25" s="63"/>
      <c r="P25" s="63">
        <v>17</v>
      </c>
      <c r="S25" s="75">
        <v>3</v>
      </c>
      <c r="T25" s="86">
        <v>5.3999999999999999E-2</v>
      </c>
      <c r="U25" s="86">
        <f>T25^2</f>
        <v>2.9159999999999998E-3</v>
      </c>
      <c r="V25" s="86">
        <f>(U25/$U26)*100</f>
        <v>0.1660124467219346</v>
      </c>
      <c r="W25" s="86">
        <f>W24+V25</f>
        <v>100</v>
      </c>
      <c r="AE25" s="86"/>
    </row>
    <row r="26" spans="1:32">
      <c r="A26" s="75">
        <v>20</v>
      </c>
      <c r="B26" s="80" t="s">
        <v>11</v>
      </c>
      <c r="C26" s="107">
        <v>47.89</v>
      </c>
      <c r="D26" s="107">
        <v>13.56</v>
      </c>
      <c r="E26" s="107">
        <v>11.78</v>
      </c>
      <c r="F26" s="105"/>
      <c r="G26" s="80" t="s">
        <v>11</v>
      </c>
      <c r="H26" s="68">
        <v>4</v>
      </c>
      <c r="I26" s="68">
        <v>4</v>
      </c>
      <c r="J26" s="68">
        <v>1</v>
      </c>
      <c r="K26" s="68">
        <v>5</v>
      </c>
      <c r="L26" s="68">
        <v>10</v>
      </c>
      <c r="M26" s="68">
        <v>14</v>
      </c>
      <c r="N26" s="68">
        <v>5</v>
      </c>
      <c r="O26" s="68"/>
      <c r="P26" s="68">
        <v>43</v>
      </c>
      <c r="S26" s="101" t="s">
        <v>185</v>
      </c>
      <c r="U26" s="86">
        <f>SUM(U23:U25)</f>
        <v>1.7564948036000001</v>
      </c>
      <c r="V26" s="86">
        <f>SUM(V23:V25)</f>
        <v>100</v>
      </c>
    </row>
    <row r="27" spans="1:32">
      <c r="C27" s="106"/>
      <c r="D27" s="106"/>
      <c r="E27" s="106"/>
      <c r="F27" s="105"/>
      <c r="H27" s="64"/>
      <c r="I27" s="64"/>
      <c r="J27" s="64"/>
      <c r="K27" s="64"/>
      <c r="L27" s="64"/>
      <c r="M27" s="64"/>
      <c r="N27" s="64"/>
      <c r="O27" s="64"/>
      <c r="P27" s="64"/>
    </row>
    <row r="28" spans="1:32">
      <c r="B28" s="6" t="s">
        <v>185</v>
      </c>
      <c r="C28" s="105">
        <f>SUM(C7:C26)</f>
        <v>724.37900000000002</v>
      </c>
      <c r="D28" s="105">
        <f>SUM(D7:D26)</f>
        <v>187.45000000000005</v>
      </c>
      <c r="E28" s="105">
        <f>SUM(E7:E26)</f>
        <v>179.51</v>
      </c>
      <c r="F28" s="109"/>
      <c r="G28" s="12" t="s">
        <v>185</v>
      </c>
      <c r="H28" s="68">
        <v>139</v>
      </c>
      <c r="I28" s="68">
        <v>91</v>
      </c>
      <c r="J28" s="68">
        <v>43</v>
      </c>
      <c r="K28" s="68">
        <v>177</v>
      </c>
      <c r="L28" s="68">
        <v>116</v>
      </c>
      <c r="M28" s="68">
        <v>149</v>
      </c>
      <c r="N28" s="68">
        <v>50</v>
      </c>
      <c r="O28" s="69"/>
      <c r="P28" s="69">
        <v>765</v>
      </c>
      <c r="T28" s="110"/>
      <c r="U28" s="110"/>
      <c r="V28" s="110"/>
      <c r="W28" s="110"/>
      <c r="X28" s="110"/>
    </row>
    <row r="29" spans="1:32">
      <c r="B29" s="75" t="s">
        <v>51</v>
      </c>
      <c r="C29" s="105">
        <f>MIN(C7:C26)</f>
        <v>13.88</v>
      </c>
      <c r="D29" s="105">
        <f>MIN(D7:D26)</f>
        <v>3.5</v>
      </c>
      <c r="E29" s="105">
        <f>MIN(E7:E26)</f>
        <v>3.77</v>
      </c>
      <c r="F29" s="106"/>
      <c r="S29" s="75" t="s">
        <v>134</v>
      </c>
      <c r="T29" s="110"/>
      <c r="U29" s="110"/>
      <c r="V29" s="110"/>
      <c r="X29" s="75" t="s">
        <v>398</v>
      </c>
    </row>
    <row r="30" spans="1:32">
      <c r="B30" s="75" t="s">
        <v>53</v>
      </c>
      <c r="C30" s="105">
        <f>MAX(C7:C26)</f>
        <v>89.43</v>
      </c>
      <c r="D30" s="105">
        <f>MAX(D7:D26)</f>
        <v>23.18</v>
      </c>
      <c r="E30" s="105">
        <f>MAX(E7:E26)</f>
        <v>21.52</v>
      </c>
      <c r="F30" s="105"/>
      <c r="T30" s="104" t="s">
        <v>136</v>
      </c>
      <c r="U30" s="104" t="s">
        <v>119</v>
      </c>
      <c r="V30" s="104" t="s">
        <v>120</v>
      </c>
      <c r="X30" s="104" t="s">
        <v>136</v>
      </c>
      <c r="Y30" s="104" t="s">
        <v>119</v>
      </c>
      <c r="Z30" s="104" t="s">
        <v>120</v>
      </c>
      <c r="AA30" s="104"/>
    </row>
    <row r="31" spans="1:32" ht="13.5" thickBot="1">
      <c r="B31" s="75" t="s">
        <v>178</v>
      </c>
      <c r="C31" s="105">
        <f>AVERAGE(C7:C26)</f>
        <v>36.21895</v>
      </c>
      <c r="D31" s="105">
        <f>AVERAGE(D7:D26)</f>
        <v>9.3725000000000023</v>
      </c>
      <c r="E31" s="105">
        <f>AVERAGE(E7:E26)</f>
        <v>8.9755000000000003</v>
      </c>
      <c r="F31" s="105"/>
      <c r="G31" s="76" t="s">
        <v>42</v>
      </c>
      <c r="H31" s="77"/>
      <c r="I31" s="78"/>
      <c r="J31" s="77"/>
      <c r="K31" s="77"/>
      <c r="L31" s="77"/>
      <c r="M31" s="77"/>
      <c r="N31" s="77"/>
      <c r="O31" s="77"/>
      <c r="P31" s="77"/>
      <c r="S31" s="75" t="s">
        <v>29</v>
      </c>
      <c r="T31" s="110">
        <v>0.44600000000000001</v>
      </c>
      <c r="U31" s="110">
        <v>-0.73399999999999999</v>
      </c>
      <c r="V31" s="110">
        <v>-0.51200000000000001</v>
      </c>
      <c r="X31" s="86">
        <f>T31*T23</f>
        <v>0.5842332400000001</v>
      </c>
      <c r="Y31" s="86">
        <f>U31*T24</f>
        <v>-0.14239599999999999</v>
      </c>
      <c r="Z31" s="86">
        <f>V31*T25</f>
        <v>-2.7647999999999999E-2</v>
      </c>
      <c r="AA31" s="86"/>
    </row>
    <row r="32" spans="1:32" ht="13.5" thickTop="1">
      <c r="B32" s="75" t="s">
        <v>330</v>
      </c>
      <c r="C32" s="105">
        <f>VAR(C7:C26)</f>
        <v>346.89414731315782</v>
      </c>
      <c r="D32" s="105">
        <f>VAR(D7:D26)</f>
        <v>27.332851315789412</v>
      </c>
      <c r="E32" s="105">
        <f>VAR(E7:E26)</f>
        <v>18.266110263157913</v>
      </c>
      <c r="F32" s="105"/>
      <c r="H32" s="65" t="s">
        <v>467</v>
      </c>
      <c r="I32" s="65" t="s">
        <v>468</v>
      </c>
      <c r="J32" s="65" t="s">
        <v>469</v>
      </c>
      <c r="K32" s="65" t="s">
        <v>470</v>
      </c>
      <c r="L32" s="65" t="s">
        <v>247</v>
      </c>
      <c r="M32" s="65" t="s">
        <v>248</v>
      </c>
      <c r="N32" s="65" t="s">
        <v>249</v>
      </c>
      <c r="O32" s="64"/>
      <c r="P32" s="64"/>
      <c r="S32" s="75" t="s">
        <v>30</v>
      </c>
      <c r="T32" s="110">
        <v>0.71899999999999997</v>
      </c>
      <c r="U32" s="110">
        <v>0.63500000000000001</v>
      </c>
      <c r="V32" s="110">
        <v>-0.28299999999999997</v>
      </c>
      <c r="X32" s="86">
        <f>T32*T23</f>
        <v>0.94184686000000006</v>
      </c>
      <c r="Y32" s="86">
        <f>U32*T24</f>
        <v>0.12319000000000001</v>
      </c>
      <c r="Z32" s="86">
        <f>V32*T24</f>
        <v>-5.4901999999999999E-2</v>
      </c>
      <c r="AA32" s="86"/>
      <c r="AC32" s="86"/>
    </row>
    <row r="33" spans="1:31">
      <c r="B33" s="85" t="s">
        <v>184</v>
      </c>
      <c r="C33" s="107">
        <f>STDEV(C7:C26)</f>
        <v>18.625094558502457</v>
      </c>
      <c r="D33" s="107">
        <f>STDEV(D7:D26)</f>
        <v>5.2280829484419442</v>
      </c>
      <c r="E33" s="107">
        <f>STDEV(E7:E26)</f>
        <v>4.2738870204016752</v>
      </c>
      <c r="F33" s="105"/>
      <c r="G33" s="79" t="s">
        <v>444</v>
      </c>
      <c r="H33" s="66" t="s">
        <v>250</v>
      </c>
      <c r="I33" s="66" t="s">
        <v>251</v>
      </c>
      <c r="J33" s="66" t="s">
        <v>252</v>
      </c>
      <c r="K33" s="66" t="s">
        <v>252</v>
      </c>
      <c r="L33" s="66" t="s">
        <v>252</v>
      </c>
      <c r="M33" s="66" t="s">
        <v>253</v>
      </c>
      <c r="N33" s="66" t="s">
        <v>250</v>
      </c>
      <c r="O33" s="67"/>
      <c r="P33" s="66" t="s">
        <v>357</v>
      </c>
      <c r="S33" s="96" t="s">
        <v>442</v>
      </c>
      <c r="T33" s="110">
        <v>0.53300000000000003</v>
      </c>
      <c r="U33" s="110">
        <v>-0.24099999999999999</v>
      </c>
      <c r="V33" s="110">
        <v>0.81100000000000005</v>
      </c>
      <c r="X33" s="86">
        <f>T33*T23</f>
        <v>0.69819802000000009</v>
      </c>
      <c r="Y33" s="86">
        <f>U33*T24</f>
        <v>-4.6753999999999997E-2</v>
      </c>
      <c r="Z33" s="86">
        <f>V33*T25</f>
        <v>4.3794E-2</v>
      </c>
      <c r="AA33" s="86"/>
      <c r="AC33" s="86"/>
    </row>
    <row r="34" spans="1:31">
      <c r="F34" s="105"/>
      <c r="G34" s="82" t="s">
        <v>413</v>
      </c>
      <c r="H34" s="70">
        <f t="shared" ref="H34:N43" si="0">SQRT(H7+0.3)</f>
        <v>2.8809720581775866</v>
      </c>
      <c r="I34" s="70">
        <f t="shared" si="0"/>
        <v>2.3021728866442674</v>
      </c>
      <c r="J34" s="70">
        <f t="shared" si="0"/>
        <v>1.8165902124584949</v>
      </c>
      <c r="K34" s="70">
        <f t="shared" si="0"/>
        <v>3.2093613071762426</v>
      </c>
      <c r="L34" s="70">
        <f t="shared" si="0"/>
        <v>2.0736441353327719</v>
      </c>
      <c r="M34" s="70">
        <f t="shared" si="0"/>
        <v>2.3021728866442674</v>
      </c>
      <c r="N34" s="70">
        <f t="shared" si="0"/>
        <v>1.1401754250991381</v>
      </c>
      <c r="O34" s="63"/>
      <c r="P34" s="70">
        <f>SUM(H34:N34)</f>
        <v>15.725088911532769</v>
      </c>
      <c r="W34" s="110"/>
      <c r="X34" s="110"/>
      <c r="Z34" s="86"/>
      <c r="AA34" s="86"/>
      <c r="AC34" s="86"/>
    </row>
    <row r="35" spans="1:31">
      <c r="F35" s="105"/>
      <c r="G35" s="82" t="s">
        <v>414</v>
      </c>
      <c r="H35" s="70">
        <f t="shared" si="0"/>
        <v>2.5099800796022267</v>
      </c>
      <c r="I35" s="70">
        <f t="shared" si="0"/>
        <v>2.5099800796022267</v>
      </c>
      <c r="J35" s="70">
        <f t="shared" si="0"/>
        <v>2.3021728866442674</v>
      </c>
      <c r="K35" s="70">
        <f t="shared" si="0"/>
        <v>3.2093613071762426</v>
      </c>
      <c r="L35" s="70">
        <f t="shared" si="0"/>
        <v>1.51657508881031</v>
      </c>
      <c r="M35" s="70">
        <f t="shared" si="0"/>
        <v>1.8165902124584949</v>
      </c>
      <c r="N35" s="70">
        <f t="shared" si="0"/>
        <v>1.1401754250991381</v>
      </c>
      <c r="O35" s="63"/>
      <c r="P35" s="70">
        <f t="shared" ref="P35:P53" si="1">SUM(H35:N35)</f>
        <v>15.004835079392906</v>
      </c>
      <c r="S35" s="75" t="s">
        <v>44</v>
      </c>
      <c r="Z35" s="86"/>
      <c r="AA35" s="86"/>
    </row>
    <row r="36" spans="1:31">
      <c r="F36" s="109"/>
      <c r="G36" s="82" t="s">
        <v>415</v>
      </c>
      <c r="H36" s="70">
        <f t="shared" si="0"/>
        <v>2.8809720581775866</v>
      </c>
      <c r="I36" s="70">
        <f t="shared" si="0"/>
        <v>2.7018512172212592</v>
      </c>
      <c r="J36" s="70">
        <f t="shared" si="0"/>
        <v>2.7018512172212592</v>
      </c>
      <c r="K36" s="70">
        <f t="shared" si="0"/>
        <v>3.646916505762094</v>
      </c>
      <c r="L36" s="70">
        <f t="shared" si="0"/>
        <v>1.51657508881031</v>
      </c>
      <c r="M36" s="70">
        <f t="shared" si="0"/>
        <v>1.51657508881031</v>
      </c>
      <c r="N36" s="70">
        <f t="shared" si="0"/>
        <v>1.1401754250991381</v>
      </c>
      <c r="O36" s="63"/>
      <c r="P36" s="70">
        <f t="shared" si="1"/>
        <v>16.104916601101959</v>
      </c>
      <c r="S36" s="75" t="s">
        <v>136</v>
      </c>
    </row>
    <row r="37" spans="1:31" ht="13.5" thickBot="1">
      <c r="A37" s="81"/>
      <c r="B37" s="76" t="s">
        <v>26</v>
      </c>
      <c r="C37" s="77"/>
      <c r="D37" s="78"/>
      <c r="E37" s="77"/>
      <c r="G37" s="82" t="s">
        <v>416</v>
      </c>
      <c r="H37" s="70">
        <f t="shared" si="0"/>
        <v>3.2093613071762426</v>
      </c>
      <c r="I37" s="70">
        <f t="shared" si="0"/>
        <v>1.1401754250991381</v>
      </c>
      <c r="J37" s="70">
        <f t="shared" si="0"/>
        <v>1.1401754250991381</v>
      </c>
      <c r="K37" s="70">
        <f t="shared" si="0"/>
        <v>3.2093613071762426</v>
      </c>
      <c r="L37" s="70">
        <f t="shared" si="0"/>
        <v>3.2093613071762426</v>
      </c>
      <c r="M37" s="70">
        <f t="shared" si="0"/>
        <v>3.3615472627943221</v>
      </c>
      <c r="N37" s="70">
        <f t="shared" si="0"/>
        <v>2.0736441353327719</v>
      </c>
      <c r="O37" s="63"/>
      <c r="P37" s="70">
        <f t="shared" si="1"/>
        <v>17.343626169854097</v>
      </c>
    </row>
    <row r="38" spans="1:31" ht="13.5" thickTop="1">
      <c r="C38" s="81" t="s">
        <v>20</v>
      </c>
      <c r="D38" s="81" t="s">
        <v>12</v>
      </c>
      <c r="E38" s="81" t="s">
        <v>12</v>
      </c>
      <c r="G38" s="82" t="s">
        <v>417</v>
      </c>
      <c r="H38" s="70">
        <f t="shared" si="0"/>
        <v>3.2093613071762426</v>
      </c>
      <c r="I38" s="70">
        <f t="shared" si="0"/>
        <v>3.0495901363953815</v>
      </c>
      <c r="J38" s="70">
        <f t="shared" si="0"/>
        <v>1.1401754250991381</v>
      </c>
      <c r="K38" s="70">
        <f t="shared" si="0"/>
        <v>3.7815340802378077</v>
      </c>
      <c r="L38" s="70">
        <f t="shared" si="0"/>
        <v>3.646916505762094</v>
      </c>
      <c r="M38" s="70">
        <f t="shared" si="0"/>
        <v>4.3931765272977596</v>
      </c>
      <c r="N38" s="70">
        <f t="shared" si="0"/>
        <v>1.51657508881031</v>
      </c>
      <c r="O38" s="63"/>
      <c r="P38" s="70">
        <f t="shared" si="1"/>
        <v>20.737329070778731</v>
      </c>
    </row>
    <row r="39" spans="1:31">
      <c r="B39" s="103" t="s">
        <v>444</v>
      </c>
      <c r="C39" s="104" t="s">
        <v>173</v>
      </c>
      <c r="D39" s="104" t="s">
        <v>173</v>
      </c>
      <c r="E39" s="104" t="s">
        <v>174</v>
      </c>
      <c r="G39" s="82" t="s">
        <v>179</v>
      </c>
      <c r="H39" s="70">
        <f t="shared" si="0"/>
        <v>3.0495901363953815</v>
      </c>
      <c r="I39" s="70">
        <f t="shared" si="0"/>
        <v>1.8165902124584949</v>
      </c>
      <c r="J39" s="70">
        <f t="shared" si="0"/>
        <v>1.1401754250991381</v>
      </c>
      <c r="K39" s="70">
        <f t="shared" si="0"/>
        <v>3.0495901363953815</v>
      </c>
      <c r="L39" s="70">
        <f t="shared" si="0"/>
        <v>2.8809720581775866</v>
      </c>
      <c r="M39" s="70">
        <f t="shared" si="0"/>
        <v>3.2093613071762426</v>
      </c>
      <c r="N39" s="70">
        <f t="shared" si="0"/>
        <v>1.8165902124584949</v>
      </c>
      <c r="O39" s="63"/>
      <c r="P39" s="70">
        <f t="shared" si="1"/>
        <v>16.96286948816072</v>
      </c>
      <c r="S39" s="75" t="s">
        <v>135</v>
      </c>
      <c r="X39" s="75" t="s">
        <v>399</v>
      </c>
    </row>
    <row r="40" spans="1:31">
      <c r="A40" s="75">
        <v>1</v>
      </c>
      <c r="B40" s="82" t="s">
        <v>413</v>
      </c>
      <c r="C40" s="105">
        <f t="shared" ref="C40:E42" si="2">LOG10(C7)</f>
        <v>1.3643633546157308</v>
      </c>
      <c r="D40" s="105">
        <f t="shared" si="2"/>
        <v>0.54406804435027567</v>
      </c>
      <c r="E40" s="105">
        <f t="shared" si="2"/>
        <v>0.57634135020579291</v>
      </c>
      <c r="G40" s="82" t="s">
        <v>400</v>
      </c>
      <c r="H40" s="70">
        <f t="shared" si="0"/>
        <v>2.3021728866442674</v>
      </c>
      <c r="I40" s="70">
        <f t="shared" si="0"/>
        <v>2.0736441353327719</v>
      </c>
      <c r="J40" s="70">
        <f t="shared" si="0"/>
        <v>1.1401754250991381</v>
      </c>
      <c r="K40" s="70">
        <f t="shared" si="0"/>
        <v>2.7018512172212592</v>
      </c>
      <c r="L40" s="70">
        <f t="shared" si="0"/>
        <v>2.5099800796022267</v>
      </c>
      <c r="M40" s="70">
        <f t="shared" si="0"/>
        <v>3.0495901363953815</v>
      </c>
      <c r="N40" s="70">
        <f t="shared" si="0"/>
        <v>1.8165902124584949</v>
      </c>
      <c r="O40" s="63"/>
      <c r="P40" s="70">
        <f t="shared" si="1"/>
        <v>15.594004092753538</v>
      </c>
      <c r="T40" s="104" t="s">
        <v>136</v>
      </c>
      <c r="U40" s="104" t="s">
        <v>119</v>
      </c>
      <c r="V40" s="104" t="s">
        <v>120</v>
      </c>
      <c r="X40" s="104" t="s">
        <v>136</v>
      </c>
      <c r="Y40" s="104" t="s">
        <v>119</v>
      </c>
      <c r="Z40" s="104" t="s">
        <v>120</v>
      </c>
      <c r="AA40" s="104"/>
    </row>
    <row r="41" spans="1:31">
      <c r="A41" s="75">
        <v>2</v>
      </c>
      <c r="B41" s="82" t="s">
        <v>414</v>
      </c>
      <c r="C41" s="105">
        <f t="shared" si="2"/>
        <v>1.1559430179718369</v>
      </c>
      <c r="D41" s="105">
        <f t="shared" si="2"/>
        <v>0.59879050676311507</v>
      </c>
      <c r="E41" s="105">
        <f t="shared" si="2"/>
        <v>0.61066016308987991</v>
      </c>
      <c r="G41" s="82" t="s">
        <v>14</v>
      </c>
      <c r="H41" s="70">
        <f t="shared" si="0"/>
        <v>2.5099800796022267</v>
      </c>
      <c r="I41" s="70">
        <f t="shared" si="0"/>
        <v>2.0736441353327719</v>
      </c>
      <c r="J41" s="70">
        <f t="shared" si="0"/>
        <v>1.1401754250991381</v>
      </c>
      <c r="K41" s="70">
        <f t="shared" si="0"/>
        <v>2.7018512172212592</v>
      </c>
      <c r="L41" s="70">
        <f t="shared" si="0"/>
        <v>2.3021728866442674</v>
      </c>
      <c r="M41" s="70">
        <f t="shared" si="0"/>
        <v>2.7018512172212592</v>
      </c>
      <c r="N41" s="70">
        <f t="shared" si="0"/>
        <v>1.51657508881031</v>
      </c>
      <c r="O41" s="63"/>
      <c r="P41" s="70">
        <f t="shared" si="1"/>
        <v>14.946250049931232</v>
      </c>
      <c r="S41" s="75" t="s">
        <v>125</v>
      </c>
      <c r="T41" s="86">
        <v>-0.57099999999999995</v>
      </c>
      <c r="U41" s="86">
        <v>0.38600000000000001</v>
      </c>
      <c r="V41" s="86">
        <v>-0.29599999999999999</v>
      </c>
      <c r="X41" s="86">
        <f>T41*$T23</f>
        <v>-0.74797574</v>
      </c>
      <c r="Y41" s="86">
        <f>U41*$T24</f>
        <v>7.4884000000000006E-2</v>
      </c>
      <c r="Z41" s="86">
        <f>V41*T25</f>
        <v>-1.5983999999999998E-2</v>
      </c>
      <c r="AA41" s="86"/>
    </row>
    <row r="42" spans="1:31">
      <c r="A42" s="75">
        <v>3</v>
      </c>
      <c r="B42" s="82" t="s">
        <v>415</v>
      </c>
      <c r="C42" s="105">
        <f t="shared" si="2"/>
        <v>1.713406532167691</v>
      </c>
      <c r="D42" s="105">
        <f t="shared" si="2"/>
        <v>1.0378247505883418</v>
      </c>
      <c r="E42" s="105">
        <f t="shared" si="2"/>
        <v>1.0301947853567512</v>
      </c>
      <c r="G42" s="82" t="s">
        <v>376</v>
      </c>
      <c r="H42" s="70">
        <f t="shared" si="0"/>
        <v>3.0495901363953815</v>
      </c>
      <c r="I42" s="70">
        <f t="shared" si="0"/>
        <v>2.7018512172212592</v>
      </c>
      <c r="J42" s="70">
        <f t="shared" si="0"/>
        <v>1.8165902124584949</v>
      </c>
      <c r="K42" s="70">
        <f t="shared" si="0"/>
        <v>3.5071355833500366</v>
      </c>
      <c r="L42" s="70">
        <f t="shared" si="0"/>
        <v>2.0736441353327719</v>
      </c>
      <c r="M42" s="70">
        <f t="shared" si="0"/>
        <v>2.3021728866442674</v>
      </c>
      <c r="N42" s="70">
        <f t="shared" si="0"/>
        <v>1.1401754250991381</v>
      </c>
      <c r="O42" s="63"/>
      <c r="P42" s="70">
        <f t="shared" si="1"/>
        <v>16.591159596501353</v>
      </c>
      <c r="S42" s="75" t="s">
        <v>371</v>
      </c>
      <c r="T42" s="86">
        <v>-0.185</v>
      </c>
      <c r="U42" s="86">
        <v>-0.23899999999999999</v>
      </c>
      <c r="V42" s="86">
        <v>0.872</v>
      </c>
      <c r="X42" s="86">
        <f>T42*$T23</f>
        <v>-0.24233890000000002</v>
      </c>
      <c r="Y42" s="86">
        <f>U42*$T24</f>
        <v>-4.6365999999999997E-2</v>
      </c>
      <c r="Z42" s="86">
        <f>V42*T25</f>
        <v>4.7087999999999998E-2</v>
      </c>
      <c r="AA42" s="86"/>
    </row>
    <row r="43" spans="1:31">
      <c r="A43" s="75">
        <v>4</v>
      </c>
      <c r="B43" s="82" t="s">
        <v>416</v>
      </c>
      <c r="C43" s="105">
        <f t="shared" ref="C43:E57" si="3">LOG10(C10)</f>
        <v>1.325310371711061</v>
      </c>
      <c r="D43" s="105">
        <f t="shared" si="3"/>
        <v>0.69019608002851374</v>
      </c>
      <c r="E43" s="105">
        <f t="shared" si="3"/>
        <v>0.67117284271508326</v>
      </c>
      <c r="G43" s="82" t="s">
        <v>16</v>
      </c>
      <c r="H43" s="70">
        <f t="shared" si="0"/>
        <v>3.0495901363953815</v>
      </c>
      <c r="I43" s="70">
        <f t="shared" si="0"/>
        <v>2.3021728866442674</v>
      </c>
      <c r="J43" s="70">
        <f t="shared" si="0"/>
        <v>1.1401754250991381</v>
      </c>
      <c r="K43" s="70">
        <f t="shared" si="0"/>
        <v>3.2093613071762426</v>
      </c>
      <c r="L43" s="70">
        <f t="shared" si="0"/>
        <v>2.8809720581775866</v>
      </c>
      <c r="M43" s="70">
        <f t="shared" si="0"/>
        <v>3.2093613071762426</v>
      </c>
      <c r="N43" s="70">
        <f t="shared" si="0"/>
        <v>1.51657508881031</v>
      </c>
      <c r="O43" s="63"/>
      <c r="P43" s="70">
        <f t="shared" si="1"/>
        <v>17.308208209479169</v>
      </c>
      <c r="S43" s="75" t="s">
        <v>372</v>
      </c>
      <c r="T43" s="86">
        <v>-0.25700000000000001</v>
      </c>
      <c r="U43" s="86">
        <v>-0.61399999999999999</v>
      </c>
      <c r="V43" s="86">
        <v>-0.28000000000000003</v>
      </c>
      <c r="X43" s="86">
        <f>T43*$T23</f>
        <v>-0.33665458000000004</v>
      </c>
      <c r="Y43" s="86">
        <f>U43*$T24</f>
        <v>-0.119116</v>
      </c>
      <c r="Z43" s="86">
        <f>V43*T25</f>
        <v>-1.5120000000000001E-2</v>
      </c>
      <c r="AA43" s="86"/>
    </row>
    <row r="44" spans="1:31">
      <c r="A44" s="75">
        <v>5</v>
      </c>
      <c r="B44" s="82" t="s">
        <v>417</v>
      </c>
      <c r="C44" s="105">
        <f t="shared" si="3"/>
        <v>1.5016069224188293</v>
      </c>
      <c r="D44" s="105">
        <f t="shared" si="3"/>
        <v>0.96988164374649999</v>
      </c>
      <c r="E44" s="105">
        <f t="shared" si="3"/>
        <v>1.0831441431430522</v>
      </c>
      <c r="G44" s="82" t="s">
        <v>377</v>
      </c>
      <c r="H44" s="70">
        <f t="shared" ref="H44:N53" si="4">SQRT(H17+0.3)</f>
        <v>2.3021728866442674</v>
      </c>
      <c r="I44" s="70">
        <f t="shared" si="4"/>
        <v>1.8165902124584949</v>
      </c>
      <c r="J44" s="70">
        <f t="shared" si="4"/>
        <v>1.51657508881031</v>
      </c>
      <c r="K44" s="70">
        <f t="shared" si="4"/>
        <v>2.5099800796022267</v>
      </c>
      <c r="L44" s="70">
        <f t="shared" si="4"/>
        <v>1.8165902124584949</v>
      </c>
      <c r="M44" s="70">
        <f t="shared" si="4"/>
        <v>2.0736441353327719</v>
      </c>
      <c r="N44" s="70">
        <f t="shared" si="4"/>
        <v>1.51657508881031</v>
      </c>
      <c r="O44" s="63"/>
      <c r="P44" s="70">
        <f t="shared" si="1"/>
        <v>13.552127704116877</v>
      </c>
      <c r="S44" s="75" t="s">
        <v>126</v>
      </c>
      <c r="T44" s="86">
        <v>-0.502</v>
      </c>
      <c r="U44" s="86">
        <v>5.7000000000000002E-2</v>
      </c>
      <c r="V44" s="86">
        <v>9.1999999999999998E-2</v>
      </c>
      <c r="X44" s="86">
        <f>T44*$T23</f>
        <v>-0.65758988000000007</v>
      </c>
      <c r="Y44" s="86">
        <f>U44*$T24</f>
        <v>1.1058E-2</v>
      </c>
      <c r="Z44" s="86">
        <f>V44*T25</f>
        <v>4.9680000000000002E-3</v>
      </c>
      <c r="AA44" s="86"/>
    </row>
    <row r="45" spans="1:31">
      <c r="A45" s="75">
        <v>6</v>
      </c>
      <c r="B45" s="82" t="s">
        <v>179</v>
      </c>
      <c r="C45" s="105">
        <f t="shared" si="3"/>
        <v>1.5659658174466666</v>
      </c>
      <c r="D45" s="105">
        <f t="shared" si="3"/>
        <v>1.0549958615291415</v>
      </c>
      <c r="E45" s="105">
        <f t="shared" si="3"/>
        <v>1.0043213737826426</v>
      </c>
      <c r="G45" s="82" t="s">
        <v>272</v>
      </c>
      <c r="H45" s="70">
        <f t="shared" si="4"/>
        <v>3.0495901363953815</v>
      </c>
      <c r="I45" s="70">
        <f t="shared" si="4"/>
        <v>2.7018512172212592</v>
      </c>
      <c r="J45" s="70">
        <f t="shared" si="4"/>
        <v>1.8165902124584949</v>
      </c>
      <c r="K45" s="70">
        <f t="shared" si="4"/>
        <v>3.5071355833500366</v>
      </c>
      <c r="L45" s="70">
        <f t="shared" si="4"/>
        <v>2.3021728866442674</v>
      </c>
      <c r="M45" s="70">
        <f t="shared" si="4"/>
        <v>2.5099800796022267</v>
      </c>
      <c r="N45" s="70">
        <f t="shared" si="4"/>
        <v>1.1401754250991381</v>
      </c>
      <c r="O45" s="63"/>
      <c r="P45" s="70">
        <f t="shared" si="1"/>
        <v>17.027495540770804</v>
      </c>
      <c r="S45" s="75" t="s">
        <v>331</v>
      </c>
      <c r="T45" s="86">
        <v>6.0999999999999999E-2</v>
      </c>
      <c r="U45" s="86">
        <v>0.42099999999999999</v>
      </c>
      <c r="V45" s="86">
        <v>0.2</v>
      </c>
      <c r="X45" s="86">
        <f>T45*$T23</f>
        <v>7.9906340000000006E-2</v>
      </c>
      <c r="Y45" s="86">
        <f>U45*$T24</f>
        <v>8.1673999999999997E-2</v>
      </c>
      <c r="Z45" s="86">
        <f>V45*T25</f>
        <v>1.0800000000000001E-2</v>
      </c>
      <c r="AA45" s="86"/>
    </row>
    <row r="46" spans="1:31">
      <c r="A46" s="75">
        <v>7</v>
      </c>
      <c r="B46" s="82" t="s">
        <v>400</v>
      </c>
      <c r="C46" s="105">
        <f t="shared" si="3"/>
        <v>1.4001060704285453</v>
      </c>
      <c r="D46" s="105">
        <f t="shared" si="3"/>
        <v>0.80550085815840011</v>
      </c>
      <c r="E46" s="105">
        <f t="shared" si="3"/>
        <v>0.83314711191278512</v>
      </c>
      <c r="G46" s="82" t="s">
        <v>221</v>
      </c>
      <c r="H46" s="70">
        <f t="shared" si="4"/>
        <v>2.5099800796022267</v>
      </c>
      <c r="I46" s="70">
        <f t="shared" si="4"/>
        <v>2.5099800796022267</v>
      </c>
      <c r="J46" s="70">
        <f t="shared" si="4"/>
        <v>1.51657508881031</v>
      </c>
      <c r="K46" s="70">
        <f t="shared" si="4"/>
        <v>2.8809720581775866</v>
      </c>
      <c r="L46" s="70">
        <f t="shared" si="4"/>
        <v>2.3021728866442674</v>
      </c>
      <c r="M46" s="70">
        <f t="shared" si="4"/>
        <v>2.7018512172212592</v>
      </c>
      <c r="N46" s="70">
        <f t="shared" si="4"/>
        <v>1.51657508881031</v>
      </c>
      <c r="O46" s="63"/>
      <c r="P46" s="70">
        <f t="shared" si="1"/>
        <v>15.938106498868187</v>
      </c>
      <c r="S46" s="75" t="s">
        <v>332</v>
      </c>
      <c r="T46" s="86">
        <v>-1E-3</v>
      </c>
      <c r="U46" s="86">
        <v>0.48399999999999999</v>
      </c>
      <c r="V46" s="86">
        <v>0.13400000000000001</v>
      </c>
      <c r="X46" s="86">
        <f>T46*$T23</f>
        <v>-1.3099400000000001E-3</v>
      </c>
      <c r="Y46" s="86">
        <f>U46*$T24</f>
        <v>9.3895999999999993E-2</v>
      </c>
      <c r="Z46" s="86">
        <f>V46*T25</f>
        <v>7.2360000000000002E-3</v>
      </c>
      <c r="AA46" s="86"/>
    </row>
    <row r="47" spans="1:31">
      <c r="A47" s="75">
        <v>8</v>
      </c>
      <c r="B47" s="82" t="s">
        <v>14</v>
      </c>
      <c r="C47" s="105">
        <f t="shared" si="3"/>
        <v>1.5175917307119078</v>
      </c>
      <c r="D47" s="105">
        <f t="shared" si="3"/>
        <v>0.92737036303902354</v>
      </c>
      <c r="E47" s="105">
        <f t="shared" si="3"/>
        <v>0.78390357927273491</v>
      </c>
      <c r="G47" s="82" t="s">
        <v>181</v>
      </c>
      <c r="H47" s="70">
        <f t="shared" si="4"/>
        <v>1.8165902124584949</v>
      </c>
      <c r="I47" s="70">
        <f t="shared" si="4"/>
        <v>1.1401754250991381</v>
      </c>
      <c r="J47" s="70">
        <f t="shared" si="4"/>
        <v>0.54772255750516607</v>
      </c>
      <c r="K47" s="70">
        <f t="shared" si="4"/>
        <v>1.8165902124584949</v>
      </c>
      <c r="L47" s="70">
        <f t="shared" si="4"/>
        <v>2.8809720581775866</v>
      </c>
      <c r="M47" s="70">
        <f t="shared" si="4"/>
        <v>3.0495901363953815</v>
      </c>
      <c r="N47" s="70">
        <f t="shared" si="4"/>
        <v>2.8809720581775866</v>
      </c>
      <c r="O47" s="63"/>
      <c r="P47" s="70">
        <f t="shared" si="1"/>
        <v>14.13261266027185</v>
      </c>
      <c r="S47" s="75" t="s">
        <v>341</v>
      </c>
      <c r="T47" s="86">
        <v>0.56399999999999995</v>
      </c>
      <c r="U47" s="86">
        <v>3.9E-2</v>
      </c>
      <c r="V47" s="86">
        <v>-0.08</v>
      </c>
      <c r="X47" s="86">
        <f>T47*$T23</f>
        <v>0.73880615999999999</v>
      </c>
      <c r="Y47" s="86">
        <f>U47*$T24</f>
        <v>7.5659999999999998E-3</v>
      </c>
      <c r="Z47" s="86">
        <f>V47*T25</f>
        <v>-4.3200000000000001E-3</v>
      </c>
      <c r="AA47" s="86"/>
    </row>
    <row r="48" spans="1:31">
      <c r="A48" s="75">
        <v>9</v>
      </c>
      <c r="B48" s="82" t="s">
        <v>376</v>
      </c>
      <c r="C48" s="105">
        <f t="shared" si="3"/>
        <v>1.3386556655787003</v>
      </c>
      <c r="D48" s="105">
        <f t="shared" si="3"/>
        <v>0.84010609445675777</v>
      </c>
      <c r="E48" s="105">
        <f t="shared" si="3"/>
        <v>0.95472479097906293</v>
      </c>
      <c r="G48" s="82" t="s">
        <v>182</v>
      </c>
      <c r="H48" s="70">
        <f t="shared" si="4"/>
        <v>3.2093613071762426</v>
      </c>
      <c r="I48" s="70">
        <f t="shared" si="4"/>
        <v>3.0495901363953815</v>
      </c>
      <c r="J48" s="70">
        <f t="shared" si="4"/>
        <v>1.51657508881031</v>
      </c>
      <c r="K48" s="70">
        <f t="shared" si="4"/>
        <v>3.7815340802378077</v>
      </c>
      <c r="L48" s="70">
        <f t="shared" si="4"/>
        <v>3.0495901363953815</v>
      </c>
      <c r="M48" s="70">
        <f t="shared" si="4"/>
        <v>3.646916505762094</v>
      </c>
      <c r="N48" s="70">
        <f t="shared" si="4"/>
        <v>1.51657508881031</v>
      </c>
      <c r="O48" s="63"/>
      <c r="P48" s="70">
        <f t="shared" si="1"/>
        <v>19.770142343587526</v>
      </c>
      <c r="AE48" s="121"/>
    </row>
    <row r="49" spans="1:21">
      <c r="A49" s="75">
        <v>10</v>
      </c>
      <c r="B49" s="82" t="s">
        <v>16</v>
      </c>
      <c r="C49" s="105">
        <f t="shared" si="3"/>
        <v>1.1423894661188361</v>
      </c>
      <c r="D49" s="105">
        <f t="shared" si="3"/>
        <v>0.70156798505592743</v>
      </c>
      <c r="E49" s="105">
        <f t="shared" si="3"/>
        <v>0.63748972951251071</v>
      </c>
      <c r="G49" s="82" t="s">
        <v>156</v>
      </c>
      <c r="H49" s="70">
        <f t="shared" si="4"/>
        <v>2.5099800796022267</v>
      </c>
      <c r="I49" s="70">
        <f t="shared" si="4"/>
        <v>1.1401754250991381</v>
      </c>
      <c r="J49" s="70">
        <f t="shared" si="4"/>
        <v>1.1401754250991381</v>
      </c>
      <c r="K49" s="70">
        <f t="shared" si="4"/>
        <v>2.5099800796022267</v>
      </c>
      <c r="L49" s="70">
        <f t="shared" si="4"/>
        <v>2.3021728866442674</v>
      </c>
      <c r="M49" s="70">
        <f t="shared" si="4"/>
        <v>2.3021728866442674</v>
      </c>
      <c r="N49" s="70">
        <f t="shared" si="4"/>
        <v>1.8165902124584949</v>
      </c>
      <c r="O49" s="63"/>
      <c r="P49" s="70">
        <f t="shared" si="1"/>
        <v>13.721246995149761</v>
      </c>
    </row>
    <row r="50" spans="1:21">
      <c r="A50" s="75">
        <v>11</v>
      </c>
      <c r="B50" s="82" t="s">
        <v>377</v>
      </c>
      <c r="C50" s="105">
        <f t="shared" si="3"/>
        <v>1.3310221710418286</v>
      </c>
      <c r="D50" s="105">
        <f t="shared" si="3"/>
        <v>0.84695532501982396</v>
      </c>
      <c r="E50" s="105">
        <f t="shared" si="3"/>
        <v>0.83186977428050168</v>
      </c>
      <c r="G50" s="82" t="s">
        <v>157</v>
      </c>
      <c r="H50" s="70">
        <f t="shared" si="4"/>
        <v>2.7018512172212592</v>
      </c>
      <c r="I50" s="70">
        <f t="shared" si="4"/>
        <v>1.51657508881031</v>
      </c>
      <c r="J50" s="70">
        <f t="shared" si="4"/>
        <v>1.51657508881031</v>
      </c>
      <c r="K50" s="70">
        <f t="shared" si="4"/>
        <v>2.8809720581775866</v>
      </c>
      <c r="L50" s="70">
        <f t="shared" si="4"/>
        <v>2.0736441353327719</v>
      </c>
      <c r="M50" s="70">
        <f t="shared" si="4"/>
        <v>2.3021728866442674</v>
      </c>
      <c r="N50" s="70">
        <f t="shared" si="4"/>
        <v>1.51657508881031</v>
      </c>
      <c r="O50" s="63"/>
      <c r="P50" s="70">
        <f t="shared" si="1"/>
        <v>14.508365563806816</v>
      </c>
    </row>
    <row r="51" spans="1:21">
      <c r="A51" s="75">
        <v>12</v>
      </c>
      <c r="B51" s="82" t="s">
        <v>272</v>
      </c>
      <c r="C51" s="105">
        <f t="shared" si="3"/>
        <v>1.4351114331264929</v>
      </c>
      <c r="D51" s="105">
        <f t="shared" si="3"/>
        <v>0.72427586960078905</v>
      </c>
      <c r="E51" s="105">
        <f t="shared" si="3"/>
        <v>0.9132839017604184</v>
      </c>
      <c r="G51" s="82" t="s">
        <v>10</v>
      </c>
      <c r="H51" s="70">
        <f t="shared" si="4"/>
        <v>2.7018512172212592</v>
      </c>
      <c r="I51" s="70">
        <f t="shared" si="4"/>
        <v>2.3021728866442674</v>
      </c>
      <c r="J51" s="70">
        <f t="shared" si="4"/>
        <v>2.0736441353327719</v>
      </c>
      <c r="K51" s="70">
        <f t="shared" si="4"/>
        <v>3.2093613071762426</v>
      </c>
      <c r="L51" s="70">
        <f t="shared" si="4"/>
        <v>1.8165902124584949</v>
      </c>
      <c r="M51" s="70">
        <f t="shared" si="4"/>
        <v>1.8165902124584949</v>
      </c>
      <c r="N51" s="70">
        <f t="shared" si="4"/>
        <v>1.1401754250991381</v>
      </c>
      <c r="O51" s="63"/>
      <c r="P51" s="70">
        <f t="shared" si="1"/>
        <v>15.06038539639067</v>
      </c>
      <c r="S51" s="85" t="s">
        <v>444</v>
      </c>
      <c r="T51" s="90" t="s">
        <v>394</v>
      </c>
      <c r="U51" s="90" t="s">
        <v>395</v>
      </c>
    </row>
    <row r="52" spans="1:21">
      <c r="A52" s="75">
        <v>13</v>
      </c>
      <c r="B52" s="82" t="s">
        <v>221</v>
      </c>
      <c r="C52" s="105">
        <f t="shared" si="3"/>
        <v>1.5814945422908993</v>
      </c>
      <c r="D52" s="105">
        <f t="shared" si="3"/>
        <v>0.97312785359969867</v>
      </c>
      <c r="E52" s="105">
        <f t="shared" si="3"/>
        <v>0.94001815500766328</v>
      </c>
      <c r="G52" s="82" t="s">
        <v>158</v>
      </c>
      <c r="H52" s="70">
        <f t="shared" si="4"/>
        <v>1.51657508881031</v>
      </c>
      <c r="I52" s="70">
        <f t="shared" si="4"/>
        <v>1.51657508881031</v>
      </c>
      <c r="J52" s="70">
        <f t="shared" si="4"/>
        <v>1.51657508881031</v>
      </c>
      <c r="K52" s="70">
        <f t="shared" si="4"/>
        <v>1.8165902124584949</v>
      </c>
      <c r="L52" s="70">
        <f t="shared" si="4"/>
        <v>1.51657508881031</v>
      </c>
      <c r="M52" s="70">
        <f t="shared" si="4"/>
        <v>1.51657508881031</v>
      </c>
      <c r="N52" s="70">
        <f t="shared" si="4"/>
        <v>2.0736441353327719</v>
      </c>
      <c r="O52" s="63"/>
      <c r="P52" s="70">
        <f t="shared" si="1"/>
        <v>11.473109791842818</v>
      </c>
      <c r="S52" s="82" t="s">
        <v>413</v>
      </c>
      <c r="T52" s="86">
        <f t="array" ref="T52:T71">MMULT(C72:E91,T31:T33)</f>
        <v>-2.3134519810441163</v>
      </c>
      <c r="U52" s="86">
        <f t="array" ref="U52:U71">MMULT(H101:N120,T41:T47)</f>
        <v>-1.3133924737889706</v>
      </c>
    </row>
    <row r="53" spans="1:21">
      <c r="A53" s="75">
        <v>14</v>
      </c>
      <c r="B53" s="82" t="s">
        <v>181</v>
      </c>
      <c r="C53" s="105">
        <f t="shared" si="3"/>
        <v>1.6032526619816467</v>
      </c>
      <c r="D53" s="105">
        <f t="shared" si="3"/>
        <v>1.1755118133634477</v>
      </c>
      <c r="E53" s="105">
        <f t="shared" si="3"/>
        <v>1.1132746924643504</v>
      </c>
      <c r="G53" s="80" t="s">
        <v>11</v>
      </c>
      <c r="H53" s="71">
        <f t="shared" si="4"/>
        <v>2.0736441353327719</v>
      </c>
      <c r="I53" s="71">
        <f t="shared" si="4"/>
        <v>2.0736441353327719</v>
      </c>
      <c r="J53" s="71">
        <f t="shared" si="4"/>
        <v>1.1401754250991381</v>
      </c>
      <c r="K53" s="71">
        <f t="shared" si="4"/>
        <v>2.3021728866442674</v>
      </c>
      <c r="L53" s="71">
        <f t="shared" si="4"/>
        <v>3.2093613071762426</v>
      </c>
      <c r="M53" s="71">
        <f t="shared" si="4"/>
        <v>3.7815340802378077</v>
      </c>
      <c r="N53" s="71">
        <f t="shared" si="4"/>
        <v>2.3021728866442674</v>
      </c>
      <c r="O53" s="68"/>
      <c r="P53" s="71">
        <f t="shared" si="1"/>
        <v>16.882704856467267</v>
      </c>
      <c r="S53" s="82" t="s">
        <v>414</v>
      </c>
      <c r="T53" s="86">
        <v>-2.4915121639450328</v>
      </c>
      <c r="U53" s="86">
        <v>-1.2387077704003531</v>
      </c>
    </row>
    <row r="54" spans="1:21">
      <c r="A54" s="75">
        <v>15</v>
      </c>
      <c r="B54" s="82" t="s">
        <v>182</v>
      </c>
      <c r="C54" s="105">
        <f t="shared" si="3"/>
        <v>1.7935808673681559</v>
      </c>
      <c r="D54" s="105">
        <f t="shared" si="3"/>
        <v>1.0881360887005513</v>
      </c>
      <c r="E54" s="105">
        <f t="shared" si="3"/>
        <v>0.94001815500766328</v>
      </c>
      <c r="S54" s="82" t="s">
        <v>415</v>
      </c>
      <c r="T54" s="86">
        <v>1.1361906695051234</v>
      </c>
      <c r="U54" s="86">
        <v>-2.3290674678105789</v>
      </c>
    </row>
    <row r="55" spans="1:21">
      <c r="A55" s="75">
        <v>16</v>
      </c>
      <c r="B55" s="82" t="s">
        <v>156</v>
      </c>
      <c r="C55" s="105">
        <f t="shared" si="3"/>
        <v>1.7477224620355085</v>
      </c>
      <c r="D55" s="105">
        <f t="shared" si="3"/>
        <v>1.2787536009528289</v>
      </c>
      <c r="E55" s="105">
        <f t="shared" si="3"/>
        <v>1.1172712956557642</v>
      </c>
      <c r="G55" s="122" t="s">
        <v>185</v>
      </c>
      <c r="H55" s="110">
        <f>SUM(H34:H53)</f>
        <v>53.043166546206976</v>
      </c>
      <c r="I55" s="110">
        <f t="shared" ref="I55:N55" si="5">SUM(I34:I53)</f>
        <v>42.43900202742514</v>
      </c>
      <c r="J55" s="110">
        <f t="shared" si="5"/>
        <v>29.779440278923602</v>
      </c>
      <c r="K55" s="110">
        <f t="shared" si="5"/>
        <v>59.441612526777767</v>
      </c>
      <c r="L55" s="110">
        <f t="shared" si="5"/>
        <v>47.880655154568252</v>
      </c>
      <c r="M55" s="110">
        <f t="shared" si="5"/>
        <v>53.563426061727419</v>
      </c>
      <c r="N55" s="110">
        <f t="shared" si="5"/>
        <v>32.237282025129879</v>
      </c>
      <c r="O55" s="96"/>
      <c r="P55" s="70"/>
      <c r="S55" s="82" t="s">
        <v>416</v>
      </c>
      <c r="T55" s="86">
        <v>-1.6945417833514567</v>
      </c>
      <c r="U55" s="86">
        <v>0.25187414493296678</v>
      </c>
    </row>
    <row r="56" spans="1:21">
      <c r="A56" s="75">
        <v>17</v>
      </c>
      <c r="B56" s="82" t="s">
        <v>157</v>
      </c>
      <c r="C56" s="105">
        <f t="shared" si="3"/>
        <v>1.3675422735205767</v>
      </c>
      <c r="D56" s="105">
        <f t="shared" si="3"/>
        <v>0.58433122436753082</v>
      </c>
      <c r="E56" s="105">
        <f t="shared" si="3"/>
        <v>0.66275783168157409</v>
      </c>
      <c r="G56" s="75" t="s">
        <v>51</v>
      </c>
      <c r="H56" s="86">
        <f>MIN(H34:H53)</f>
        <v>1.51657508881031</v>
      </c>
      <c r="I56" s="86">
        <f t="shared" ref="I56:N56" si="6">MIN(I34:I53)</f>
        <v>1.1401754250991381</v>
      </c>
      <c r="J56" s="86">
        <f t="shared" si="6"/>
        <v>0.54772255750516607</v>
      </c>
      <c r="K56" s="86">
        <f t="shared" si="6"/>
        <v>1.8165902124584949</v>
      </c>
      <c r="L56" s="86">
        <f t="shared" si="6"/>
        <v>1.51657508881031</v>
      </c>
      <c r="M56" s="86">
        <f t="shared" si="6"/>
        <v>1.51657508881031</v>
      </c>
      <c r="N56" s="86">
        <f t="shared" si="6"/>
        <v>1.1401754250991381</v>
      </c>
      <c r="S56" s="82" t="s">
        <v>417</v>
      </c>
      <c r="T56" s="86">
        <v>0.61961186975541205</v>
      </c>
      <c r="U56" s="86">
        <v>-1.4697789358888882</v>
      </c>
    </row>
    <row r="57" spans="1:21">
      <c r="A57" s="75">
        <v>18</v>
      </c>
      <c r="B57" s="82" t="s">
        <v>10</v>
      </c>
      <c r="C57" s="105">
        <f t="shared" si="3"/>
        <v>1.6638892986226614</v>
      </c>
      <c r="D57" s="105">
        <f t="shared" si="3"/>
        <v>0.91115760873997664</v>
      </c>
      <c r="E57" s="105">
        <f t="shared" si="3"/>
        <v>1.0576661039098292</v>
      </c>
      <c r="G57" s="75" t="s">
        <v>53</v>
      </c>
      <c r="H57" s="86">
        <f>MAX(H34:H53)</f>
        <v>3.2093613071762426</v>
      </c>
      <c r="I57" s="86">
        <f t="shared" ref="I57:N57" si="7">MAX(I34:I53)</f>
        <v>3.0495901363953815</v>
      </c>
      <c r="J57" s="86">
        <f t="shared" si="7"/>
        <v>2.7018512172212592</v>
      </c>
      <c r="K57" s="86">
        <f t="shared" si="7"/>
        <v>3.7815340802378077</v>
      </c>
      <c r="L57" s="86">
        <f t="shared" si="7"/>
        <v>3.646916505762094</v>
      </c>
      <c r="M57" s="86">
        <f t="shared" si="7"/>
        <v>4.3931765272977596</v>
      </c>
      <c r="N57" s="86">
        <f t="shared" si="7"/>
        <v>2.8809720581775866</v>
      </c>
      <c r="S57" s="82" t="s">
        <v>179</v>
      </c>
      <c r="T57" s="86">
        <v>0.81231391083248572</v>
      </c>
      <c r="U57" s="86">
        <v>2.8675404946092803E-2</v>
      </c>
    </row>
    <row r="58" spans="1:21">
      <c r="A58" s="75">
        <v>19</v>
      </c>
      <c r="B58" s="82" t="s">
        <v>158</v>
      </c>
      <c r="C58" s="105">
        <f t="shared" ref="C58:E59" si="8">LOG10(C25)</f>
        <v>1.9514832307522931</v>
      </c>
      <c r="D58" s="105">
        <f t="shared" si="8"/>
        <v>1.3651134316275773</v>
      </c>
      <c r="E58" s="105">
        <f t="shared" si="8"/>
        <v>1.3328422669943516</v>
      </c>
      <c r="G58" s="75" t="s">
        <v>178</v>
      </c>
      <c r="H58" s="86">
        <f>AVERAGE(H34:H53)</f>
        <v>2.6521583273103486</v>
      </c>
      <c r="I58" s="86">
        <f t="shared" ref="I58:N58" si="9">AVERAGE(I34:I53)</f>
        <v>2.1219501013712572</v>
      </c>
      <c r="J58" s="86">
        <f t="shared" si="9"/>
        <v>1.4889720139461802</v>
      </c>
      <c r="K58" s="86">
        <f t="shared" si="9"/>
        <v>2.9720806263388884</v>
      </c>
      <c r="L58" s="86">
        <f t="shared" si="9"/>
        <v>2.3940327577284126</v>
      </c>
      <c r="M58" s="86">
        <f t="shared" si="9"/>
        <v>2.678171303086371</v>
      </c>
      <c r="N58" s="86">
        <f t="shared" si="9"/>
        <v>1.611864101256494</v>
      </c>
      <c r="S58" s="82" t="s">
        <v>400</v>
      </c>
      <c r="T58" s="86">
        <v>-0.75663262229565453</v>
      </c>
      <c r="U58" s="86">
        <v>1.1111394488646718</v>
      </c>
    </row>
    <row r="59" spans="1:21">
      <c r="A59" s="75">
        <v>20</v>
      </c>
      <c r="B59" s="80" t="s">
        <v>11</v>
      </c>
      <c r="C59" s="107">
        <f t="shared" si="8"/>
        <v>1.6802448370426077</v>
      </c>
      <c r="D59" s="107">
        <f t="shared" si="8"/>
        <v>1.1322596895310446</v>
      </c>
      <c r="E59" s="107">
        <f t="shared" si="8"/>
        <v>1.0711452904510828</v>
      </c>
      <c r="G59" s="75" t="s">
        <v>330</v>
      </c>
      <c r="H59" s="86">
        <f>VAR(H34:H53)</f>
        <v>0.22742758618775988</v>
      </c>
      <c r="I59" s="86">
        <f t="shared" ref="I59:N59" si="10">VAR(I34:I53)</f>
        <v>0.36560817609527424</v>
      </c>
      <c r="J59" s="86">
        <f t="shared" si="10"/>
        <v>0.24522351756321639</v>
      </c>
      <c r="K59" s="86">
        <f t="shared" si="10"/>
        <v>0.3334071058326793</v>
      </c>
      <c r="L59" s="86">
        <f t="shared" si="10"/>
        <v>0.38800753149819994</v>
      </c>
      <c r="M59" s="86">
        <f t="shared" si="10"/>
        <v>0.6077878645522653</v>
      </c>
      <c r="N59" s="86">
        <f t="shared" si="10"/>
        <v>0.21252012534799442</v>
      </c>
      <c r="S59" s="82" t="s">
        <v>14</v>
      </c>
      <c r="T59" s="86">
        <v>-0.26117203299165359</v>
      </c>
      <c r="U59" s="86">
        <v>0.4753723352889821</v>
      </c>
    </row>
    <row r="60" spans="1:21">
      <c r="C60" s="106"/>
      <c r="D60" s="106"/>
      <c r="E60" s="106"/>
      <c r="G60" s="75" t="s">
        <v>184</v>
      </c>
      <c r="H60" s="86">
        <f>STDEV(H34:H53)</f>
        <v>0.47689368436556157</v>
      </c>
      <c r="I60" s="86">
        <f t="shared" ref="I60:N60" si="11">STDEV(I34:I53)</f>
        <v>0.60465541930530498</v>
      </c>
      <c r="J60" s="86">
        <f t="shared" si="11"/>
        <v>0.49520048219202734</v>
      </c>
      <c r="K60" s="86">
        <f t="shared" si="11"/>
        <v>0.57741415451362055</v>
      </c>
      <c r="L60" s="86">
        <f t="shared" si="11"/>
        <v>0.62290250561239513</v>
      </c>
      <c r="M60" s="86">
        <f t="shared" si="11"/>
        <v>0.77960750673160228</v>
      </c>
      <c r="N60" s="86">
        <f t="shared" si="11"/>
        <v>0.46099905135259706</v>
      </c>
      <c r="S60" s="82" t="s">
        <v>376</v>
      </c>
      <c r="T60" s="86">
        <v>-0.46039684109696571</v>
      </c>
      <c r="U60" s="86">
        <v>-1.896455064434956</v>
      </c>
    </row>
    <row r="61" spans="1:21">
      <c r="A61"/>
      <c r="B61" s="6" t="s">
        <v>185</v>
      </c>
      <c r="C61" s="95">
        <f>SUM(C40:C59)</f>
        <v>30.180682726952472</v>
      </c>
      <c r="D61" s="105">
        <f>SUM(D40:D59)</f>
        <v>18.249924693219267</v>
      </c>
      <c r="E61" s="105">
        <f>SUM(E40:E59)</f>
        <v>18.165247337183494</v>
      </c>
      <c r="G61" s="85"/>
      <c r="H61" s="85"/>
      <c r="I61" s="85"/>
      <c r="J61" s="85"/>
      <c r="K61" s="85"/>
      <c r="L61" s="85"/>
      <c r="M61" s="85"/>
      <c r="N61" s="85"/>
      <c r="O61" s="85"/>
      <c r="P61" s="85"/>
      <c r="S61" s="82" t="s">
        <v>16</v>
      </c>
      <c r="T61" s="86">
        <v>-2.1312753947138883</v>
      </c>
      <c r="U61" s="86">
        <v>-0.62584373357260747</v>
      </c>
    </row>
    <row r="62" spans="1:21">
      <c r="A62"/>
      <c r="B62" s="75" t="s">
        <v>51</v>
      </c>
      <c r="C62" s="105">
        <f>MIN(C40:C59)</f>
        <v>1.1423894661188361</v>
      </c>
      <c r="D62" s="105">
        <f>MIN(D40:D59)</f>
        <v>0.54406804435027567</v>
      </c>
      <c r="E62" s="105">
        <f>MIN(E40:E59)</f>
        <v>0.57634135020579291</v>
      </c>
      <c r="G62"/>
      <c r="S62" s="82" t="s">
        <v>377</v>
      </c>
      <c r="T62" s="86">
        <v>-0.77648543555187854</v>
      </c>
      <c r="U62" s="86">
        <v>0.72755699049566314</v>
      </c>
    </row>
    <row r="63" spans="1:21">
      <c r="A63"/>
      <c r="B63" s="75" t="s">
        <v>53</v>
      </c>
      <c r="C63" s="105">
        <f>MAX(C40:C59)</f>
        <v>1.9514832307522931</v>
      </c>
      <c r="D63" s="105">
        <f>MAX(D40:D59)</f>
        <v>1.3651134316275773</v>
      </c>
      <c r="E63" s="105">
        <f>MAX(E40:E59)</f>
        <v>1.3328422669943516</v>
      </c>
      <c r="G63"/>
      <c r="S63" s="82" t="s">
        <v>272</v>
      </c>
      <c r="T63" s="86">
        <v>-0.72531449816276972</v>
      </c>
      <c r="U63" s="86">
        <v>-1.8743420156001425</v>
      </c>
    </row>
    <row r="64" spans="1:21">
      <c r="A64"/>
      <c r="B64" s="75" t="s">
        <v>178</v>
      </c>
      <c r="C64" s="105">
        <f>AVERAGE(C40:C59)</f>
        <v>1.5090341363476236</v>
      </c>
      <c r="D64" s="105">
        <f>AVERAGE(D40:D59)</f>
        <v>0.9124962346609633</v>
      </c>
      <c r="E64" s="105">
        <f>AVERAGE(E40:E59)</f>
        <v>0.90826236685917472</v>
      </c>
      <c r="G64"/>
      <c r="S64" s="82" t="s">
        <v>221</v>
      </c>
      <c r="T64" s="86">
        <v>0.42301993975901575</v>
      </c>
      <c r="U64" s="86">
        <v>-9.2000473030465629E-3</v>
      </c>
    </row>
    <row r="65" spans="1:21">
      <c r="A65"/>
      <c r="B65" s="75" t="s">
        <v>330</v>
      </c>
      <c r="C65" s="105">
        <f>VAR(C40:C59)</f>
        <v>4.5163754927577238E-2</v>
      </c>
      <c r="D65" s="105">
        <f>VAR(D40:D59)</f>
        <v>5.3826149419965594E-2</v>
      </c>
      <c r="E65" s="105">
        <f>VAR(E40:E59)</f>
        <v>4.1536743587063205E-2</v>
      </c>
      <c r="G65"/>
      <c r="H65" s="81" t="s">
        <v>23</v>
      </c>
      <c r="I65" s="81" t="s">
        <v>24</v>
      </c>
      <c r="S65" s="82" t="s">
        <v>181</v>
      </c>
      <c r="T65" s="86">
        <v>1.5489926911927256</v>
      </c>
      <c r="U65" s="86">
        <v>4.3937916621739816</v>
      </c>
    </row>
    <row r="66" spans="1:21">
      <c r="A66"/>
      <c r="B66" s="85" t="s">
        <v>184</v>
      </c>
      <c r="C66" s="107">
        <f>STDEV(C40:C59)</f>
        <v>0.21251765791947086</v>
      </c>
      <c r="D66" s="107">
        <f>STDEV(D40:D59)</f>
        <v>0.23200463232436888</v>
      </c>
      <c r="E66" s="107">
        <f>STDEV(E40:E59)</f>
        <v>0.20380565150913554</v>
      </c>
      <c r="G66"/>
      <c r="H66" s="75">
        <v>0</v>
      </c>
      <c r="I66" s="75">
        <f t="array" ref="I66:I76">FREQUENCY(H7:N26,H66:H76)</f>
        <v>1</v>
      </c>
      <c r="S66" s="82" t="s">
        <v>182</v>
      </c>
      <c r="T66" s="86">
        <v>1.2245339521753509</v>
      </c>
      <c r="U66" s="86">
        <v>-1.7226620491418749</v>
      </c>
    </row>
    <row r="67" spans="1:21">
      <c r="F67"/>
      <c r="G67"/>
      <c r="H67" s="75">
        <v>2</v>
      </c>
      <c r="I67" s="75">
        <v>37</v>
      </c>
      <c r="S67" s="82" t="s">
        <v>156</v>
      </c>
      <c r="T67" s="86">
        <v>2.182590309317312</v>
      </c>
      <c r="U67" s="86">
        <v>1.2953457331460307</v>
      </c>
    </row>
    <row r="68" spans="1:21">
      <c r="F68"/>
      <c r="G68"/>
      <c r="H68" s="75">
        <v>4</v>
      </c>
      <c r="I68" s="75">
        <v>26</v>
      </c>
      <c r="S68" s="82" t="s">
        <v>157</v>
      </c>
      <c r="T68" s="86">
        <v>-1.9560023807809486</v>
      </c>
      <c r="U68" s="86">
        <v>4.3137092554570211E-2</v>
      </c>
    </row>
    <row r="69" spans="1:21" ht="13.5" thickBot="1">
      <c r="A69" s="81"/>
      <c r="B69" s="76" t="s">
        <v>381</v>
      </c>
      <c r="C69" s="77"/>
      <c r="D69" s="78"/>
      <c r="E69" s="77"/>
      <c r="F69"/>
      <c r="G69"/>
      <c r="H69" s="75">
        <v>6</v>
      </c>
      <c r="I69" s="75">
        <v>26</v>
      </c>
      <c r="S69" s="82" t="s">
        <v>10</v>
      </c>
      <c r="T69" s="86">
        <v>0.7115642106742075</v>
      </c>
      <c r="U69" s="86">
        <v>-1.2568803369404546</v>
      </c>
    </row>
    <row r="70" spans="1:21" ht="13.5" thickTop="1">
      <c r="C70" s="81" t="s">
        <v>20</v>
      </c>
      <c r="D70" s="81" t="s">
        <v>12</v>
      </c>
      <c r="E70" s="81" t="s">
        <v>12</v>
      </c>
      <c r="F70"/>
      <c r="G70"/>
      <c r="H70" s="75">
        <v>8</v>
      </c>
      <c r="I70" s="75">
        <v>18</v>
      </c>
      <c r="S70" s="82" t="s">
        <v>158</v>
      </c>
      <c r="T70" s="86">
        <v>3.4416172679863735</v>
      </c>
      <c r="U70" s="86">
        <v>3.0156779713611757</v>
      </c>
    </row>
    <row r="71" spans="1:21">
      <c r="B71" s="85" t="s">
        <v>444</v>
      </c>
      <c r="C71" s="90" t="s">
        <v>173</v>
      </c>
      <c r="D71" s="90" t="s">
        <v>173</v>
      </c>
      <c r="E71" s="90" t="s">
        <v>174</v>
      </c>
      <c r="F71"/>
      <c r="G71"/>
      <c r="H71" s="75">
        <v>10</v>
      </c>
      <c r="I71" s="75">
        <v>22</v>
      </c>
      <c r="S71" s="80" t="s">
        <v>11</v>
      </c>
      <c r="T71" s="99">
        <v>1.4663522532721918</v>
      </c>
      <c r="U71" s="99">
        <v>2.3938724711841965</v>
      </c>
    </row>
    <row r="72" spans="1:21">
      <c r="A72" s="75">
        <v>1</v>
      </c>
      <c r="B72" s="82" t="s">
        <v>413</v>
      </c>
      <c r="C72" s="105">
        <f>(C40-1.5090341)/0.2125177</f>
        <v>-0.68074680548617494</v>
      </c>
      <c r="D72" s="105">
        <f>(D40-0.9124962)/0.2320046</f>
        <v>-1.5880209084204551</v>
      </c>
      <c r="E72" s="105">
        <f>(E40-0.9082624)/0.2038057</f>
        <v>-1.6286151456716231</v>
      </c>
      <c r="F72" s="14">
        <f>SUM(C72:E72)</f>
        <v>-3.8973828595782534</v>
      </c>
      <c r="G72"/>
      <c r="H72" s="75">
        <v>12</v>
      </c>
      <c r="I72" s="75">
        <v>3</v>
      </c>
    </row>
    <row r="73" spans="1:21">
      <c r="A73" s="75">
        <v>2</v>
      </c>
      <c r="B73" s="82" t="s">
        <v>414</v>
      </c>
      <c r="C73" s="105">
        <f t="shared" ref="C73:C91" si="12">(C41-1.5090341)/0.2125177</f>
        <v>-1.6614667014943376</v>
      </c>
      <c r="D73" s="105">
        <f t="shared" ref="D73:D91" si="13">(D41-0.9124962)/0.2320046</f>
        <v>-1.352152902299717</v>
      </c>
      <c r="E73" s="105">
        <f t="shared" ref="E73:E91" si="14">(E41-0.9082624)/0.2038057</f>
        <v>-1.4602252876642807</v>
      </c>
      <c r="F73" s="14">
        <f t="shared" ref="F73:F91" si="15">SUM(C73:E73)</f>
        <v>-4.4738448914583353</v>
      </c>
      <c r="G73"/>
      <c r="H73" s="75">
        <v>14</v>
      </c>
      <c r="I73" s="75">
        <v>6</v>
      </c>
      <c r="S73" s="75" t="s">
        <v>45</v>
      </c>
      <c r="T73" s="86">
        <f>CORREL(T52:T71,U52:U71)</f>
        <v>0.44485246437160858</v>
      </c>
    </row>
    <row r="74" spans="1:21">
      <c r="A74" s="75">
        <v>3</v>
      </c>
      <c r="B74" s="82" t="s">
        <v>415</v>
      </c>
      <c r="C74" s="105">
        <f t="shared" si="12"/>
        <v>0.96167252030156058</v>
      </c>
      <c r="D74" s="105">
        <f t="shared" si="13"/>
        <v>0.54019855894383906</v>
      </c>
      <c r="E74" s="105">
        <f t="shared" si="14"/>
        <v>0.59827760144466624</v>
      </c>
      <c r="F74" s="14">
        <f t="shared" si="15"/>
        <v>2.100148680690066</v>
      </c>
      <c r="G74"/>
      <c r="H74" s="75">
        <v>16</v>
      </c>
      <c r="I74" s="75">
        <v>0</v>
      </c>
    </row>
    <row r="75" spans="1:21">
      <c r="A75" s="75">
        <v>4</v>
      </c>
      <c r="B75" s="82" t="s">
        <v>416</v>
      </c>
      <c r="C75" s="105">
        <f t="shared" si="12"/>
        <v>-0.86451024215366068</v>
      </c>
      <c r="D75" s="105">
        <f t="shared" si="13"/>
        <v>-0.95817117406933416</v>
      </c>
      <c r="E75" s="105">
        <f t="shared" si="14"/>
        <v>-1.1633117095592358</v>
      </c>
      <c r="F75" s="14">
        <f t="shared" si="15"/>
        <v>-2.9859931257822305</v>
      </c>
      <c r="G75"/>
      <c r="H75" s="75">
        <v>18</v>
      </c>
      <c r="I75" s="75">
        <v>0</v>
      </c>
    </row>
    <row r="76" spans="1:21">
      <c r="A76" s="75">
        <v>5</v>
      </c>
      <c r="B76" s="82" t="s">
        <v>417</v>
      </c>
      <c r="C76" s="105">
        <f t="shared" si="12"/>
        <v>-3.4948512905846101E-2</v>
      </c>
      <c r="D76" s="105">
        <f t="shared" si="13"/>
        <v>0.24734614635442576</v>
      </c>
      <c r="E76" s="105">
        <f t="shared" si="14"/>
        <v>0.85808072660898171</v>
      </c>
      <c r="F76" s="14">
        <f t="shared" si="15"/>
        <v>1.0704783600575614</v>
      </c>
      <c r="G76"/>
      <c r="H76" s="75">
        <v>20</v>
      </c>
      <c r="I76" s="75">
        <v>1</v>
      </c>
    </row>
    <row r="77" spans="1:21">
      <c r="A77" s="75">
        <v>6</v>
      </c>
      <c r="B77" s="82" t="s">
        <v>179</v>
      </c>
      <c r="C77" s="105">
        <f t="shared" si="12"/>
        <v>0.26789165065623516</v>
      </c>
      <c r="D77" s="105">
        <f t="shared" si="13"/>
        <v>0.61421050069326866</v>
      </c>
      <c r="E77" s="105">
        <f t="shared" si="14"/>
        <v>0.47132623760102199</v>
      </c>
      <c r="F77" s="14">
        <f t="shared" si="15"/>
        <v>1.3534283889505256</v>
      </c>
      <c r="G77"/>
    </row>
    <row r="78" spans="1:21">
      <c r="A78" s="75">
        <v>7</v>
      </c>
      <c r="B78" s="82" t="s">
        <v>400</v>
      </c>
      <c r="C78" s="105">
        <f t="shared" si="12"/>
        <v>-0.5125597988847741</v>
      </c>
      <c r="D78" s="105">
        <f t="shared" si="13"/>
        <v>-0.46117767424266531</v>
      </c>
      <c r="E78" s="105">
        <f t="shared" si="14"/>
        <v>-0.36856323492039184</v>
      </c>
      <c r="F78" s="14">
        <f t="shared" si="15"/>
        <v>-1.3423007080478313</v>
      </c>
      <c r="G78"/>
    </row>
    <row r="79" spans="1:21">
      <c r="A79" s="75">
        <v>8</v>
      </c>
      <c r="B79" s="82" t="s">
        <v>14</v>
      </c>
      <c r="C79" s="105">
        <f t="shared" si="12"/>
        <v>4.0267849275179138E-2</v>
      </c>
      <c r="D79" s="105">
        <f t="shared" si="13"/>
        <v>6.4111500543625244E-2</v>
      </c>
      <c r="E79" s="105">
        <f t="shared" si="14"/>
        <v>-0.61018323200609759</v>
      </c>
      <c r="F79" s="14">
        <f t="shared" si="15"/>
        <v>-0.50580388218729322</v>
      </c>
      <c r="G79"/>
    </row>
    <row r="80" spans="1:21">
      <c r="A80" s="75">
        <v>9</v>
      </c>
      <c r="B80" s="82" t="s">
        <v>376</v>
      </c>
      <c r="C80" s="105">
        <f t="shared" si="12"/>
        <v>-0.80171408979722503</v>
      </c>
      <c r="D80" s="105">
        <f t="shared" si="13"/>
        <v>-0.31202013039070003</v>
      </c>
      <c r="E80" s="105">
        <f t="shared" si="14"/>
        <v>0.22797395253941821</v>
      </c>
      <c r="F80" s="14">
        <f t="shared" si="15"/>
        <v>-0.88576026764850679</v>
      </c>
      <c r="G80"/>
    </row>
    <row r="81" spans="1:9">
      <c r="A81" s="75">
        <v>10</v>
      </c>
      <c r="B81" s="82" t="s">
        <v>16</v>
      </c>
      <c r="C81" s="105">
        <f t="shared" si="12"/>
        <v>-1.7252428098043784</v>
      </c>
      <c r="D81" s="105">
        <f t="shared" si="13"/>
        <v>-0.9091553139208125</v>
      </c>
      <c r="E81" s="105">
        <f t="shared" si="14"/>
        <v>-1.328582421823773</v>
      </c>
      <c r="F81" s="14">
        <f t="shared" si="15"/>
        <v>-3.9629805455489642</v>
      </c>
      <c r="G81"/>
      <c r="H81" s="81" t="s">
        <v>23</v>
      </c>
      <c r="I81" s="81" t="s">
        <v>24</v>
      </c>
    </row>
    <row r="82" spans="1:9">
      <c r="A82" s="75">
        <v>11</v>
      </c>
      <c r="B82" s="82" t="s">
        <v>377</v>
      </c>
      <c r="C82" s="105">
        <f t="shared" si="12"/>
        <v>-0.83763342516021688</v>
      </c>
      <c r="D82" s="105">
        <f t="shared" si="13"/>
        <v>-0.28249817020945284</v>
      </c>
      <c r="E82" s="105">
        <f t="shared" si="14"/>
        <v>-0.37483066332049758</v>
      </c>
      <c r="F82" s="14">
        <f t="shared" si="15"/>
        <v>-1.4949622586901674</v>
      </c>
      <c r="G82"/>
      <c r="H82" s="108">
        <v>0</v>
      </c>
      <c r="I82" s="75">
        <f t="array" ref="I82:I94">FREQUENCY(H34:N53,H82:H94)</f>
        <v>0</v>
      </c>
    </row>
    <row r="83" spans="1:9">
      <c r="A83" s="75">
        <v>12</v>
      </c>
      <c r="B83" s="82" t="s">
        <v>272</v>
      </c>
      <c r="C83" s="105">
        <f t="shared" si="12"/>
        <v>-0.34784240029657354</v>
      </c>
      <c r="D83" s="105">
        <f t="shared" si="13"/>
        <v>-0.81127844188956133</v>
      </c>
      <c r="E83" s="105">
        <f t="shared" si="14"/>
        <v>2.4638671835078108E-2</v>
      </c>
      <c r="F83" s="14">
        <f t="shared" si="15"/>
        <v>-1.1344821703510566</v>
      </c>
      <c r="G83"/>
      <c r="H83" s="108">
        <f>H82+0.4</f>
        <v>0.4</v>
      </c>
      <c r="I83" s="75">
        <v>0</v>
      </c>
    </row>
    <row r="84" spans="1:9">
      <c r="A84" s="75">
        <v>13</v>
      </c>
      <c r="B84" s="82" t="s">
        <v>221</v>
      </c>
      <c r="C84" s="105">
        <f t="shared" si="12"/>
        <v>0.34096191654106556</v>
      </c>
      <c r="D84" s="105">
        <f t="shared" si="13"/>
        <v>0.26133815277670652</v>
      </c>
      <c r="E84" s="105">
        <f t="shared" si="14"/>
        <v>0.15581387079783959</v>
      </c>
      <c r="F84" s="14">
        <f t="shared" si="15"/>
        <v>0.75811394011561162</v>
      </c>
      <c r="H84" s="108">
        <f t="shared" ref="H84:H92" si="16">H83+0.4</f>
        <v>0.8</v>
      </c>
      <c r="I84" s="75">
        <v>1</v>
      </c>
    </row>
    <row r="85" spans="1:9">
      <c r="A85" s="75">
        <v>14</v>
      </c>
      <c r="B85" s="82" t="s">
        <v>181</v>
      </c>
      <c r="C85" s="105">
        <f t="shared" si="12"/>
        <v>0.4433445401566396</v>
      </c>
      <c r="D85" s="105">
        <f t="shared" si="13"/>
        <v>1.1336655107849056</v>
      </c>
      <c r="E85" s="105">
        <f t="shared" si="14"/>
        <v>1.0059203077458108</v>
      </c>
      <c r="F85" s="14">
        <f t="shared" si="15"/>
        <v>2.582930358687356</v>
      </c>
      <c r="H85" s="108">
        <f t="shared" si="16"/>
        <v>1.2000000000000002</v>
      </c>
      <c r="I85" s="75">
        <v>17</v>
      </c>
    </row>
    <row r="86" spans="1:9">
      <c r="A86" s="75">
        <v>15</v>
      </c>
      <c r="B86" s="82" t="s">
        <v>182</v>
      </c>
      <c r="C86" s="105">
        <f t="shared" si="12"/>
        <v>1.338932085977572</v>
      </c>
      <c r="D86" s="105">
        <f t="shared" si="13"/>
        <v>0.75705347523519517</v>
      </c>
      <c r="E86" s="105">
        <f t="shared" si="14"/>
        <v>0.15581387079783959</v>
      </c>
      <c r="F86" s="14">
        <f t="shared" si="15"/>
        <v>2.2517994320106069</v>
      </c>
      <c r="H86" s="108">
        <f t="shared" si="16"/>
        <v>1.6</v>
      </c>
      <c r="I86" s="75">
        <v>20</v>
      </c>
    </row>
    <row r="87" spans="1:9">
      <c r="A87" s="75">
        <v>16</v>
      </c>
      <c r="B87" s="82" t="s">
        <v>156</v>
      </c>
      <c r="C87" s="105">
        <f t="shared" si="12"/>
        <v>1.1231457993169909</v>
      </c>
      <c r="D87" s="105">
        <f t="shared" si="13"/>
        <v>1.5786643926578563</v>
      </c>
      <c r="E87" s="105">
        <f t="shared" si="14"/>
        <v>1.0255301773000667</v>
      </c>
      <c r="F87" s="14">
        <f t="shared" si="15"/>
        <v>3.7273403692749136</v>
      </c>
      <c r="H87" s="108">
        <f t="shared" si="16"/>
        <v>2</v>
      </c>
      <c r="I87" s="75">
        <v>15</v>
      </c>
    </row>
    <row r="88" spans="1:9">
      <c r="A88" s="75">
        <v>17</v>
      </c>
      <c r="B88" s="82" t="s">
        <v>157</v>
      </c>
      <c r="C88" s="105">
        <f t="shared" si="12"/>
        <v>-0.66578843305486257</v>
      </c>
      <c r="D88" s="105">
        <f t="shared" si="13"/>
        <v>-1.4144761596643738</v>
      </c>
      <c r="E88" s="105">
        <f t="shared" si="14"/>
        <v>-1.2046010897557131</v>
      </c>
      <c r="F88" s="14">
        <f t="shared" si="15"/>
        <v>-3.2848656824749494</v>
      </c>
      <c r="H88" s="108">
        <f t="shared" si="16"/>
        <v>2.4</v>
      </c>
      <c r="I88" s="75">
        <v>27</v>
      </c>
    </row>
    <row r="89" spans="1:9">
      <c r="A89" s="75">
        <v>18</v>
      </c>
      <c r="B89" s="82" t="s">
        <v>10</v>
      </c>
      <c r="C89" s="105">
        <f t="shared" si="12"/>
        <v>0.72866965256381655</v>
      </c>
      <c r="D89" s="105">
        <f t="shared" si="13"/>
        <v>-5.7696755151550282E-3</v>
      </c>
      <c r="E89" s="105">
        <f t="shared" si="14"/>
        <v>0.73306931018037846</v>
      </c>
      <c r="F89" s="14">
        <f t="shared" si="15"/>
        <v>1.45596928722904</v>
      </c>
      <c r="H89" s="108">
        <f t="shared" si="16"/>
        <v>2.8</v>
      </c>
      <c r="I89" s="75">
        <v>20</v>
      </c>
    </row>
    <row r="90" spans="1:9">
      <c r="A90" s="75">
        <v>19</v>
      </c>
      <c r="B90" s="82" t="s">
        <v>158</v>
      </c>
      <c r="C90" s="105">
        <f t="shared" si="12"/>
        <v>2.0819401431141644</v>
      </c>
      <c r="D90" s="105">
        <f t="shared" si="13"/>
        <v>1.950897661630749</v>
      </c>
      <c r="E90" s="105">
        <f t="shared" si="14"/>
        <v>2.0832580589961496</v>
      </c>
      <c r="F90" s="14">
        <f t="shared" si="15"/>
        <v>6.1160958637410623</v>
      </c>
      <c r="H90" s="108">
        <f t="shared" si="16"/>
        <v>3.1999999999999997</v>
      </c>
      <c r="I90" s="75">
        <v>18</v>
      </c>
    </row>
    <row r="91" spans="1:9">
      <c r="A91" s="75">
        <v>20</v>
      </c>
      <c r="B91" s="80" t="s">
        <v>11</v>
      </c>
      <c r="C91" s="107">
        <f t="shared" si="12"/>
        <v>0.80563048180272845</v>
      </c>
      <c r="D91" s="107">
        <f t="shared" si="13"/>
        <v>0.94723763895648894</v>
      </c>
      <c r="E91" s="107">
        <f t="shared" si="14"/>
        <v>0.799206746676284</v>
      </c>
      <c r="F91" s="14">
        <f t="shared" si="15"/>
        <v>2.5520748674355014</v>
      </c>
      <c r="H91" s="108">
        <f t="shared" si="16"/>
        <v>3.5999999999999996</v>
      </c>
      <c r="I91" s="75">
        <v>15</v>
      </c>
    </row>
    <row r="92" spans="1:9">
      <c r="C92" s="106"/>
      <c r="D92" s="106"/>
      <c r="E92" s="106"/>
      <c r="H92" s="108">
        <f t="shared" si="16"/>
        <v>3.9999999999999996</v>
      </c>
      <c r="I92" s="75">
        <v>6</v>
      </c>
    </row>
    <row r="93" spans="1:9">
      <c r="A93"/>
      <c r="B93" s="6" t="s">
        <v>185</v>
      </c>
      <c r="C93" s="105">
        <f>SUM(C72:C91)</f>
        <v>3.4206679011550278E-6</v>
      </c>
      <c r="D93" s="105">
        <f>SUM(D72:D91)</f>
        <v>2.987954833111317E-6</v>
      </c>
      <c r="E93" s="105">
        <f>SUM(E72:E91)</f>
        <v>-3.252198078618207E-6</v>
      </c>
      <c r="H93" s="108">
        <v>4.4000000000000004</v>
      </c>
      <c r="I93" s="75">
        <v>1</v>
      </c>
    </row>
    <row r="94" spans="1:9">
      <c r="A94"/>
      <c r="B94" s="75" t="s">
        <v>51</v>
      </c>
      <c r="C94" s="105">
        <f>MIN(C72:C91)</f>
        <v>-1.7252428098043784</v>
      </c>
      <c r="D94" s="105">
        <f>MIN(D72:D91)</f>
        <v>-1.5880209084204551</v>
      </c>
      <c r="E94" s="105">
        <f>MIN(E72:E91)</f>
        <v>-1.6286151456716231</v>
      </c>
      <c r="H94" s="108">
        <v>4.8</v>
      </c>
      <c r="I94" s="75">
        <v>0</v>
      </c>
    </row>
    <row r="95" spans="1:9">
      <c r="A95"/>
      <c r="B95" s="75" t="s">
        <v>53</v>
      </c>
      <c r="C95" s="105">
        <f>MAX(C72:C91)</f>
        <v>2.0819401431141644</v>
      </c>
      <c r="D95" s="105">
        <f>MAX(D72:D91)</f>
        <v>1.950897661630749</v>
      </c>
      <c r="E95" s="105">
        <f>MAX(E72:E91)</f>
        <v>2.0832580589961496</v>
      </c>
      <c r="H95" s="108"/>
    </row>
    <row r="96" spans="1:9">
      <c r="A96"/>
      <c r="B96" s="75" t="s">
        <v>178</v>
      </c>
      <c r="C96" s="105">
        <f>AVERAGE(C72:C91)</f>
        <v>1.7103339505775139E-7</v>
      </c>
      <c r="D96" s="105">
        <f>AVERAGE(D72:D91)</f>
        <v>1.4939774165556585E-7</v>
      </c>
      <c r="E96" s="105">
        <f>AVERAGE(E72:E91)</f>
        <v>-1.6260990393091035E-7</v>
      </c>
    </row>
    <row r="97" spans="1:16">
      <c r="A97"/>
      <c r="B97" s="75" t="s">
        <v>330</v>
      </c>
      <c r="C97" s="105">
        <f>VAR(C72:C91)</f>
        <v>0.99999960398097532</v>
      </c>
      <c r="D97" s="105">
        <f>VAR(D72:D91)</f>
        <v>1.0000002786528466</v>
      </c>
      <c r="E97" s="105">
        <f>VAR(E72:E91)</f>
        <v>0.99999952414618487</v>
      </c>
    </row>
    <row r="98" spans="1:16" ht="13.5" thickBot="1">
      <c r="A98"/>
      <c r="B98" s="85" t="s">
        <v>184</v>
      </c>
      <c r="C98" s="107">
        <f>STDEV(C72:C91)</f>
        <v>0.99999980199046801</v>
      </c>
      <c r="D98" s="107">
        <f>STDEV(D72:D91)</f>
        <v>1.0000001393264135</v>
      </c>
      <c r="E98" s="107">
        <f>STDEV(E72:E91)</f>
        <v>0.99999976207306418</v>
      </c>
      <c r="G98" s="76" t="s">
        <v>43</v>
      </c>
      <c r="H98" s="77"/>
      <c r="I98" s="78"/>
      <c r="J98" s="77"/>
      <c r="K98" s="77"/>
      <c r="L98" s="77"/>
      <c r="M98" s="77"/>
      <c r="N98" s="77"/>
      <c r="O98" s="77"/>
      <c r="P98" s="77"/>
    </row>
    <row r="99" spans="1:16" ht="13.5" thickTop="1">
      <c r="H99" s="65" t="s">
        <v>467</v>
      </c>
      <c r="I99" s="65" t="s">
        <v>468</v>
      </c>
      <c r="J99" s="65" t="s">
        <v>469</v>
      </c>
      <c r="K99" s="65" t="s">
        <v>470</v>
      </c>
      <c r="L99" s="65" t="s">
        <v>247</v>
      </c>
      <c r="M99" s="65" t="s">
        <v>248</v>
      </c>
      <c r="N99" s="65" t="s">
        <v>249</v>
      </c>
      <c r="O99" s="64"/>
      <c r="P99" s="64"/>
    </row>
    <row r="100" spans="1:16">
      <c r="G100" s="79" t="s">
        <v>444</v>
      </c>
      <c r="H100" s="66" t="s">
        <v>250</v>
      </c>
      <c r="I100" s="66" t="s">
        <v>251</v>
      </c>
      <c r="J100" s="66" t="s">
        <v>252</v>
      </c>
      <c r="K100" s="66" t="s">
        <v>252</v>
      </c>
      <c r="L100" s="66" t="s">
        <v>252</v>
      </c>
      <c r="M100" s="66" t="s">
        <v>253</v>
      </c>
      <c r="N100" s="66" t="s">
        <v>250</v>
      </c>
      <c r="O100" s="67"/>
      <c r="P100" s="66" t="s">
        <v>357</v>
      </c>
    </row>
    <row r="101" spans="1:16">
      <c r="G101" s="82" t="s">
        <v>413</v>
      </c>
      <c r="H101" s="70">
        <f>(H34-2.65216)/0.47689</f>
        <v>0.47980049524541668</v>
      </c>
      <c r="I101" s="70">
        <f>(I34-2.12195)/0.60466</f>
        <v>0.29805657170024052</v>
      </c>
      <c r="J101" s="70">
        <f>(J34-1.48897)/0.4952</f>
        <v>0.66159170528775257</v>
      </c>
      <c r="K101" s="70">
        <f>(K34-2.97208)/0.57741</f>
        <v>0.41094076509974287</v>
      </c>
      <c r="L101" s="70">
        <f>(L34-2.39403)/0.6229</f>
        <v>-0.51434558463192803</v>
      </c>
      <c r="M101" s="70">
        <f>(M34-2.67817)/0.77961</f>
        <v>-0.48228872558809238</v>
      </c>
      <c r="N101" s="70">
        <f>(N34-1.61186)/0.461</f>
        <v>-1.0231769520626073</v>
      </c>
      <c r="O101" s="63"/>
      <c r="P101" s="70">
        <f>SUM(H101:N101)</f>
        <v>-0.16942172494947516</v>
      </c>
    </row>
    <row r="102" spans="1:16">
      <c r="G102" s="82" t="s">
        <v>414</v>
      </c>
      <c r="H102" s="70">
        <f t="shared" ref="H102:H120" si="17">(H35-2.65216)/0.47689</f>
        <v>-0.29813986537309056</v>
      </c>
      <c r="I102" s="70">
        <f t="shared" ref="I102:I120" si="18">(I35-2.12195)/0.60466</f>
        <v>0.64173267555688607</v>
      </c>
      <c r="J102" s="70">
        <f t="shared" ref="J102:J120" si="19">(J35-1.48897)/0.4952</f>
        <v>1.6421706111556291</v>
      </c>
      <c r="K102" s="70">
        <f t="shared" ref="K102:K120" si="20">(K35-2.97208)/0.57741</f>
        <v>0.41094076509974287</v>
      </c>
      <c r="L102" s="70">
        <f t="shared" ref="L102:L120" si="21">(L35-2.39403)/0.6229</f>
        <v>-1.4086609587248191</v>
      </c>
      <c r="M102" s="70">
        <f t="shared" ref="M102:M120" si="22">(M35-2.67817)/0.77961</f>
        <v>-1.1051420422281719</v>
      </c>
      <c r="N102" s="70">
        <f t="shared" ref="N102:N120" si="23">(N35-1.61186)/0.461</f>
        <v>-1.0231769520626073</v>
      </c>
      <c r="O102" s="63"/>
      <c r="P102" s="70">
        <f t="shared" ref="P102:P120" si="24">SUM(H102:N102)</f>
        <v>-1.1402757665764309</v>
      </c>
    </row>
    <row r="103" spans="1:16">
      <c r="G103" s="82" t="s">
        <v>415</v>
      </c>
      <c r="H103" s="70">
        <f t="shared" si="17"/>
        <v>0.47980049524541668</v>
      </c>
      <c r="I103" s="70">
        <f t="shared" si="18"/>
        <v>0.9590533807780558</v>
      </c>
      <c r="J103" s="70">
        <f t="shared" si="19"/>
        <v>2.4492754790413152</v>
      </c>
      <c r="K103" s="70">
        <f t="shared" si="20"/>
        <v>1.1687302016973971</v>
      </c>
      <c r="L103" s="70">
        <f t="shared" si="21"/>
        <v>-1.4086609587248191</v>
      </c>
      <c r="M103" s="70">
        <f t="shared" si="22"/>
        <v>-1.4899692297298524</v>
      </c>
      <c r="N103" s="70">
        <f t="shared" si="23"/>
        <v>-1.0231769520626073</v>
      </c>
      <c r="O103" s="63"/>
      <c r="P103" s="70">
        <f t="shared" si="24"/>
        <v>1.1350524162449056</v>
      </c>
    </row>
    <row r="104" spans="1:16">
      <c r="G104" s="82" t="s">
        <v>416</v>
      </c>
      <c r="H104" s="70">
        <f t="shared" si="17"/>
        <v>1.1684063561329505</v>
      </c>
      <c r="I104" s="70">
        <f t="shared" si="18"/>
        <v>-1.6236803739305758</v>
      </c>
      <c r="J104" s="70">
        <f t="shared" si="19"/>
        <v>-0.70435091862048038</v>
      </c>
      <c r="K104" s="70">
        <f t="shared" si="20"/>
        <v>0.41094076509974287</v>
      </c>
      <c r="L104" s="70">
        <f t="shared" si="21"/>
        <v>1.3089280898639311</v>
      </c>
      <c r="M104" s="70">
        <f t="shared" si="22"/>
        <v>0.87656297737884581</v>
      </c>
      <c r="N104" s="70">
        <f t="shared" si="23"/>
        <v>1.0017009443227154</v>
      </c>
      <c r="O104" s="63"/>
      <c r="P104" s="70">
        <f t="shared" si="24"/>
        <v>2.4385078402471292</v>
      </c>
    </row>
    <row r="105" spans="1:16">
      <c r="G105" s="82" t="s">
        <v>417</v>
      </c>
      <c r="H105" s="70">
        <f t="shared" si="17"/>
        <v>1.1684063561329505</v>
      </c>
      <c r="I105" s="70">
        <f t="shared" si="18"/>
        <v>1.5341516495144072</v>
      </c>
      <c r="J105" s="70">
        <f t="shared" si="19"/>
        <v>-0.70435091862048038</v>
      </c>
      <c r="K105" s="70">
        <f t="shared" si="20"/>
        <v>1.4018705603259516</v>
      </c>
      <c r="L105" s="70">
        <f t="shared" si="21"/>
        <v>2.0113766347119828</v>
      </c>
      <c r="M105" s="70">
        <f t="shared" si="22"/>
        <v>2.1998262301634912</v>
      </c>
      <c r="N105" s="70">
        <f t="shared" si="23"/>
        <v>-0.2066917813225381</v>
      </c>
      <c r="O105" s="63"/>
      <c r="P105" s="70">
        <f t="shared" si="24"/>
        <v>7.4045887309057647</v>
      </c>
    </row>
    <row r="106" spans="1:16">
      <c r="G106" s="82" t="s">
        <v>179</v>
      </c>
      <c r="H106" s="70">
        <f t="shared" si="17"/>
        <v>0.83337905260202905</v>
      </c>
      <c r="I106" s="70">
        <f t="shared" si="18"/>
        <v>-0.50501072923875412</v>
      </c>
      <c r="J106" s="70">
        <f t="shared" si="19"/>
        <v>-0.70435091862048038</v>
      </c>
      <c r="K106" s="70">
        <f t="shared" si="20"/>
        <v>0.13423760654540345</v>
      </c>
      <c r="L106" s="70">
        <f t="shared" si="21"/>
        <v>0.78173391905215395</v>
      </c>
      <c r="M106" s="70">
        <f t="shared" si="22"/>
        <v>0.68135517396678136</v>
      </c>
      <c r="N106" s="70">
        <f t="shared" si="23"/>
        <v>0.44410024394467434</v>
      </c>
      <c r="O106" s="63"/>
      <c r="P106" s="70">
        <f t="shared" si="24"/>
        <v>1.6654443482518078</v>
      </c>
    </row>
    <row r="107" spans="1:16">
      <c r="G107" s="82" t="s">
        <v>400</v>
      </c>
      <c r="H107" s="70">
        <f t="shared" si="17"/>
        <v>-0.73389484651750392</v>
      </c>
      <c r="I107" s="70">
        <f t="shared" si="18"/>
        <v>-7.9889300875249036E-2</v>
      </c>
      <c r="J107" s="70">
        <f t="shared" si="19"/>
        <v>-0.70435091862048038</v>
      </c>
      <c r="K107" s="70">
        <f t="shared" si="20"/>
        <v>-0.46800156349689276</v>
      </c>
      <c r="L107" s="70">
        <f t="shared" si="21"/>
        <v>0.18614557650060493</v>
      </c>
      <c r="M107" s="70">
        <f t="shared" si="22"/>
        <v>0.47641787098085103</v>
      </c>
      <c r="N107" s="70">
        <f t="shared" si="23"/>
        <v>0.44410024394467434</v>
      </c>
      <c r="O107" s="63"/>
      <c r="P107" s="70">
        <f t="shared" si="24"/>
        <v>-0.87947293808399563</v>
      </c>
    </row>
    <row r="108" spans="1:16">
      <c r="G108" s="82" t="s">
        <v>14</v>
      </c>
      <c r="H108" s="70">
        <f t="shared" si="17"/>
        <v>-0.29813986537309056</v>
      </c>
      <c r="I108" s="70">
        <f t="shared" si="18"/>
        <v>-7.9889300875249036E-2</v>
      </c>
      <c r="J108" s="70">
        <f t="shared" si="19"/>
        <v>-0.70435091862048038</v>
      </c>
      <c r="K108" s="70">
        <f t="shared" si="20"/>
        <v>-0.46800156349689276</v>
      </c>
      <c r="L108" s="70">
        <f t="shared" si="21"/>
        <v>-0.14746687005254847</v>
      </c>
      <c r="M108" s="70">
        <f t="shared" si="22"/>
        <v>3.0375722760430268E-2</v>
      </c>
      <c r="N108" s="70">
        <f t="shared" si="23"/>
        <v>-0.2066917813225381</v>
      </c>
      <c r="O108" s="63"/>
      <c r="P108" s="70">
        <f t="shared" si="24"/>
        <v>-1.8741645769803694</v>
      </c>
    </row>
    <row r="109" spans="1:16">
      <c r="G109" s="82" t="s">
        <v>376</v>
      </c>
      <c r="H109" s="70">
        <f t="shared" si="17"/>
        <v>0.83337905260202905</v>
      </c>
      <c r="I109" s="70">
        <f t="shared" si="18"/>
        <v>0.9590533807780558</v>
      </c>
      <c r="J109" s="70">
        <f t="shared" si="19"/>
        <v>0.66159170528775257</v>
      </c>
      <c r="K109" s="70">
        <f t="shared" si="20"/>
        <v>0.92664758724309693</v>
      </c>
      <c r="L109" s="70">
        <f t="shared" si="21"/>
        <v>-0.51434558463192803</v>
      </c>
      <c r="M109" s="70">
        <f t="shared" si="22"/>
        <v>-0.48228872558809238</v>
      </c>
      <c r="N109" s="70">
        <f t="shared" si="23"/>
        <v>-1.0231769520626073</v>
      </c>
      <c r="O109" s="63"/>
      <c r="P109" s="70">
        <f t="shared" si="24"/>
        <v>1.3608604636283066</v>
      </c>
    </row>
    <row r="110" spans="1:16">
      <c r="G110" s="82" t="s">
        <v>16</v>
      </c>
      <c r="H110" s="70">
        <f t="shared" si="17"/>
        <v>0.83337905260202905</v>
      </c>
      <c r="I110" s="70">
        <f t="shared" si="18"/>
        <v>0.29805657170024052</v>
      </c>
      <c r="J110" s="70">
        <f t="shared" si="19"/>
        <v>-0.70435091862048038</v>
      </c>
      <c r="K110" s="70">
        <f t="shared" si="20"/>
        <v>0.41094076509974287</v>
      </c>
      <c r="L110" s="70">
        <f t="shared" si="21"/>
        <v>0.78173391905215395</v>
      </c>
      <c r="M110" s="70">
        <f t="shared" si="22"/>
        <v>0.68135517396678136</v>
      </c>
      <c r="N110" s="70">
        <f t="shared" si="23"/>
        <v>-0.2066917813225381</v>
      </c>
      <c r="O110" s="63"/>
      <c r="P110" s="70">
        <f t="shared" si="24"/>
        <v>2.0944227824779293</v>
      </c>
    </row>
    <row r="111" spans="1:16">
      <c r="G111" s="82" t="s">
        <v>377</v>
      </c>
      <c r="H111" s="70">
        <f t="shared" si="17"/>
        <v>-0.73389484651750392</v>
      </c>
      <c r="I111" s="70">
        <f t="shared" si="18"/>
        <v>-0.50501072923875412</v>
      </c>
      <c r="J111" s="70">
        <f t="shared" si="19"/>
        <v>5.5745332815650438E-2</v>
      </c>
      <c r="K111" s="70">
        <f t="shared" si="20"/>
        <v>-0.80029774406015375</v>
      </c>
      <c r="L111" s="70">
        <f t="shared" si="21"/>
        <v>-0.92701844203163419</v>
      </c>
      <c r="M111" s="70">
        <f t="shared" si="22"/>
        <v>-0.77542087026491224</v>
      </c>
      <c r="N111" s="70">
        <f t="shared" si="23"/>
        <v>-0.2066917813225381</v>
      </c>
      <c r="O111" s="63"/>
      <c r="P111" s="70">
        <f t="shared" si="24"/>
        <v>-3.8925890806198455</v>
      </c>
    </row>
    <row r="112" spans="1:16">
      <c r="G112" s="82" t="s">
        <v>272</v>
      </c>
      <c r="H112" s="70">
        <f t="shared" si="17"/>
        <v>0.83337905260202905</v>
      </c>
      <c r="I112" s="70">
        <f t="shared" si="18"/>
        <v>0.9590533807780558</v>
      </c>
      <c r="J112" s="70">
        <f t="shared" si="19"/>
        <v>0.66159170528775257</v>
      </c>
      <c r="K112" s="70">
        <f t="shared" si="20"/>
        <v>0.92664758724309693</v>
      </c>
      <c r="L112" s="70">
        <f t="shared" si="21"/>
        <v>-0.14746687005254847</v>
      </c>
      <c r="M112" s="70">
        <f t="shared" si="22"/>
        <v>-0.21573597105959835</v>
      </c>
      <c r="N112" s="70">
        <f t="shared" si="23"/>
        <v>-1.0231769520626073</v>
      </c>
      <c r="O112" s="63"/>
      <c r="P112" s="70">
        <f t="shared" si="24"/>
        <v>1.9942919327361803</v>
      </c>
    </row>
    <row r="113" spans="7:16">
      <c r="G113" s="82" t="s">
        <v>221</v>
      </c>
      <c r="H113" s="70">
        <f t="shared" si="17"/>
        <v>-0.29813986537309056</v>
      </c>
      <c r="I113" s="70">
        <f t="shared" si="18"/>
        <v>0.64173267555688607</v>
      </c>
      <c r="J113" s="70">
        <f t="shared" si="19"/>
        <v>5.5745332815650438E-2</v>
      </c>
      <c r="K113" s="70">
        <f t="shared" si="20"/>
        <v>-0.15778726004470559</v>
      </c>
      <c r="L113" s="70">
        <f t="shared" si="21"/>
        <v>-0.14746687005254847</v>
      </c>
      <c r="M113" s="70">
        <f t="shared" si="22"/>
        <v>3.0375722760430268E-2</v>
      </c>
      <c r="N113" s="70">
        <f t="shared" si="23"/>
        <v>-0.2066917813225381</v>
      </c>
      <c r="O113" s="63"/>
      <c r="P113" s="70">
        <f t="shared" si="24"/>
        <v>-8.2232045659915959E-2</v>
      </c>
    </row>
    <row r="114" spans="7:16">
      <c r="G114" s="82" t="s">
        <v>181</v>
      </c>
      <c r="H114" s="70">
        <f t="shared" si="17"/>
        <v>-1.7521226856119962</v>
      </c>
      <c r="I114" s="70">
        <f t="shared" si="18"/>
        <v>-1.6236803739305758</v>
      </c>
      <c r="J114" s="70">
        <f t="shared" si="19"/>
        <v>-1.9007420082690507</v>
      </c>
      <c r="K114" s="70">
        <f t="shared" si="20"/>
        <v>-2.0011599860437213</v>
      </c>
      <c r="L114" s="70">
        <f t="shared" si="21"/>
        <v>0.78173391905215395</v>
      </c>
      <c r="M114" s="70">
        <f t="shared" si="22"/>
        <v>0.47641787098085103</v>
      </c>
      <c r="N114" s="70">
        <f t="shared" si="23"/>
        <v>2.7529545730533331</v>
      </c>
      <c r="O114" s="63"/>
      <c r="P114" s="70">
        <f t="shared" si="24"/>
        <v>-3.2665986907690061</v>
      </c>
    </row>
    <row r="115" spans="7:16">
      <c r="G115" s="82" t="s">
        <v>182</v>
      </c>
      <c r="H115" s="70">
        <f t="shared" si="17"/>
        <v>1.1684063561329505</v>
      </c>
      <c r="I115" s="70">
        <f t="shared" si="18"/>
        <v>1.5341516495144072</v>
      </c>
      <c r="J115" s="70">
        <f t="shared" si="19"/>
        <v>5.5745332815650438E-2</v>
      </c>
      <c r="K115" s="70">
        <f t="shared" si="20"/>
        <v>1.4018705603259516</v>
      </c>
      <c r="L115" s="70">
        <f t="shared" si="21"/>
        <v>1.0524323910665943</v>
      </c>
      <c r="M115" s="70">
        <f t="shared" si="22"/>
        <v>1.24260400169584</v>
      </c>
      <c r="N115" s="70">
        <f t="shared" si="23"/>
        <v>-0.2066917813225381</v>
      </c>
      <c r="O115" s="63"/>
      <c r="P115" s="70">
        <f t="shared" si="24"/>
        <v>6.2485185102288554</v>
      </c>
    </row>
    <row r="116" spans="7:16">
      <c r="G116" s="82" t="s">
        <v>156</v>
      </c>
      <c r="H116" s="70">
        <f t="shared" si="17"/>
        <v>-0.29813986537309056</v>
      </c>
      <c r="I116" s="70">
        <f t="shared" si="18"/>
        <v>-1.6236803739305758</v>
      </c>
      <c r="J116" s="70">
        <f t="shared" si="19"/>
        <v>-0.70435091862048038</v>
      </c>
      <c r="K116" s="70">
        <f t="shared" si="20"/>
        <v>-0.80029774406015375</v>
      </c>
      <c r="L116" s="70">
        <f t="shared" si="21"/>
        <v>-0.14746687005254847</v>
      </c>
      <c r="M116" s="70">
        <f t="shared" si="22"/>
        <v>-0.48228872558809238</v>
      </c>
      <c r="N116" s="70">
        <f t="shared" si="23"/>
        <v>0.44410024394467434</v>
      </c>
      <c r="O116" s="63"/>
      <c r="P116" s="70">
        <f t="shared" si="24"/>
        <v>-3.6121242536802671</v>
      </c>
    </row>
    <row r="117" spans="7:16">
      <c r="G117" s="82" t="s">
        <v>157</v>
      </c>
      <c r="H117" s="70">
        <f t="shared" si="17"/>
        <v>0.10419848858491342</v>
      </c>
      <c r="I117" s="70">
        <f t="shared" si="18"/>
        <v>-1.0011823358411174</v>
      </c>
      <c r="J117" s="70">
        <f t="shared" si="19"/>
        <v>5.5745332815650438E-2</v>
      </c>
      <c r="K117" s="70">
        <f t="shared" si="20"/>
        <v>-0.15778726004470559</v>
      </c>
      <c r="L117" s="70">
        <f t="shared" si="21"/>
        <v>-0.51434558463192803</v>
      </c>
      <c r="M117" s="70">
        <f t="shared" si="22"/>
        <v>-0.48228872558809238</v>
      </c>
      <c r="N117" s="70">
        <f t="shared" si="23"/>
        <v>-0.2066917813225381</v>
      </c>
      <c r="O117" s="63"/>
      <c r="P117" s="70">
        <f t="shared" si="24"/>
        <v>-2.2023518660278176</v>
      </c>
    </row>
    <row r="118" spans="7:16">
      <c r="G118" s="82" t="s">
        <v>10</v>
      </c>
      <c r="H118" s="70">
        <f t="shared" si="17"/>
        <v>0.10419848858491342</v>
      </c>
      <c r="I118" s="70">
        <f t="shared" si="18"/>
        <v>0.29805657170024052</v>
      </c>
      <c r="J118" s="70">
        <f t="shared" si="19"/>
        <v>1.1806828257931583</v>
      </c>
      <c r="K118" s="70">
        <f t="shared" si="20"/>
        <v>0.41094076509974287</v>
      </c>
      <c r="L118" s="70">
        <f t="shared" si="21"/>
        <v>-0.92701844203163419</v>
      </c>
      <c r="M118" s="70">
        <f t="shared" si="22"/>
        <v>-1.1051420422281719</v>
      </c>
      <c r="N118" s="70">
        <f t="shared" si="23"/>
        <v>-1.0231769520626073</v>
      </c>
      <c r="O118" s="63"/>
      <c r="P118" s="70">
        <f t="shared" si="24"/>
        <v>-1.0614587851443584</v>
      </c>
    </row>
    <row r="119" spans="7:16">
      <c r="G119" s="82" t="s">
        <v>158</v>
      </c>
      <c r="H119" s="70">
        <f t="shared" si="17"/>
        <v>-2.3812302862079093</v>
      </c>
      <c r="I119" s="70">
        <f t="shared" si="18"/>
        <v>-1.0011823358411174</v>
      </c>
      <c r="J119" s="70">
        <f t="shared" si="19"/>
        <v>5.5745332815650438E-2</v>
      </c>
      <c r="K119" s="70">
        <f t="shared" si="20"/>
        <v>-2.0011599860437213</v>
      </c>
      <c r="L119" s="70">
        <f t="shared" si="21"/>
        <v>-1.4086609587248191</v>
      </c>
      <c r="M119" s="70">
        <f t="shared" si="22"/>
        <v>-1.4899692297298524</v>
      </c>
      <c r="N119" s="70">
        <f t="shared" si="23"/>
        <v>1.0017009443227154</v>
      </c>
      <c r="O119" s="63"/>
      <c r="P119" s="70">
        <f t="shared" si="24"/>
        <v>-7.2247565194090537</v>
      </c>
    </row>
    <row r="120" spans="7:16">
      <c r="G120" s="80" t="s">
        <v>11</v>
      </c>
      <c r="H120" s="71">
        <f t="shared" si="17"/>
        <v>-1.2131012700354966</v>
      </c>
      <c r="I120" s="71">
        <f t="shared" si="18"/>
        <v>-7.9889300875249036E-2</v>
      </c>
      <c r="J120" s="71">
        <f t="shared" si="19"/>
        <v>-0.70435091862048038</v>
      </c>
      <c r="K120" s="71">
        <f t="shared" si="20"/>
        <v>-1.1601931268175691</v>
      </c>
      <c r="L120" s="71">
        <f t="shared" si="21"/>
        <v>1.3089280898639311</v>
      </c>
      <c r="M120" s="71">
        <f t="shared" si="22"/>
        <v>1.4152769721242768</v>
      </c>
      <c r="N120" s="71">
        <f t="shared" si="23"/>
        <v>1.4974249167988445</v>
      </c>
      <c r="O120" s="68"/>
      <c r="P120" s="71">
        <f t="shared" si="24"/>
        <v>1.0640953624382572</v>
      </c>
    </row>
    <row r="122" spans="7:16">
      <c r="G122" s="122" t="s">
        <v>185</v>
      </c>
      <c r="H122" s="110">
        <f>SUM(H101:H120)</f>
        <v>-7.0149915144757102E-5</v>
      </c>
      <c r="I122" s="110">
        <f t="shared" ref="I122:N122" si="25">SUM(I101:I120)</f>
        <v>3.3530002576664941E-6</v>
      </c>
      <c r="J122" s="110">
        <f t="shared" si="25"/>
        <v>8.1338698719402025E-5</v>
      </c>
      <c r="K122" s="110">
        <f t="shared" si="25"/>
        <v>2.1694771095814858E-5</v>
      </c>
      <c r="L122" s="110">
        <f t="shared" si="25"/>
        <v>8.8544819802693908E-5</v>
      </c>
      <c r="M122" s="110">
        <f t="shared" si="25"/>
        <v>3.3429185650524218E-5</v>
      </c>
      <c r="N122" s="110">
        <f t="shared" si="25"/>
        <v>1.7792869822019775E-4</v>
      </c>
      <c r="O122" s="96"/>
      <c r="P122" s="70"/>
    </row>
    <row r="123" spans="7:16">
      <c r="G123" s="75" t="s">
        <v>51</v>
      </c>
      <c r="H123" s="86">
        <f>MIN(H101:H120)</f>
        <v>-2.3812302862079093</v>
      </c>
      <c r="I123" s="86">
        <f t="shared" ref="I123:N123" si="26">MIN(I101:I120)</f>
        <v>-1.6236803739305758</v>
      </c>
      <c r="J123" s="86">
        <f t="shared" si="26"/>
        <v>-1.9007420082690507</v>
      </c>
      <c r="K123" s="86">
        <f t="shared" si="26"/>
        <v>-2.0011599860437213</v>
      </c>
      <c r="L123" s="86">
        <f t="shared" si="26"/>
        <v>-1.4086609587248191</v>
      </c>
      <c r="M123" s="86">
        <f t="shared" si="26"/>
        <v>-1.4899692297298524</v>
      </c>
      <c r="N123" s="86">
        <f t="shared" si="26"/>
        <v>-1.0231769520626073</v>
      </c>
    </row>
    <row r="124" spans="7:16">
      <c r="G124" s="75" t="s">
        <v>53</v>
      </c>
      <c r="H124" s="86">
        <f>MAX(H101:H120)</f>
        <v>1.1684063561329505</v>
      </c>
      <c r="I124" s="86">
        <f t="shared" ref="I124:N124" si="27">MAX(I101:I120)</f>
        <v>1.5341516495144072</v>
      </c>
      <c r="J124" s="86">
        <f t="shared" si="27"/>
        <v>2.4492754790413152</v>
      </c>
      <c r="K124" s="86">
        <f t="shared" si="27"/>
        <v>1.4018705603259516</v>
      </c>
      <c r="L124" s="86">
        <f t="shared" si="27"/>
        <v>2.0113766347119828</v>
      </c>
      <c r="M124" s="86">
        <f t="shared" si="27"/>
        <v>2.1998262301634912</v>
      </c>
      <c r="N124" s="86">
        <f t="shared" si="27"/>
        <v>2.7529545730533331</v>
      </c>
    </row>
    <row r="125" spans="7:16">
      <c r="G125" s="75" t="s">
        <v>178</v>
      </c>
      <c r="H125" s="86">
        <f>AVERAGE(H101:H120)</f>
        <v>-3.5074957572378549E-6</v>
      </c>
      <c r="I125" s="86">
        <f t="shared" ref="I125:N125" si="28">AVERAGE(I101:I120)</f>
        <v>1.676500128833247E-7</v>
      </c>
      <c r="J125" s="86">
        <f t="shared" si="28"/>
        <v>4.0669349359701011E-6</v>
      </c>
      <c r="K125" s="86">
        <f t="shared" si="28"/>
        <v>1.0847385547907428E-6</v>
      </c>
      <c r="L125" s="86">
        <f t="shared" si="28"/>
        <v>4.4272409901346956E-6</v>
      </c>
      <c r="M125" s="86">
        <f t="shared" si="28"/>
        <v>1.6714592825262109E-6</v>
      </c>
      <c r="N125" s="86">
        <f t="shared" si="28"/>
        <v>8.8964349110098876E-6</v>
      </c>
    </row>
    <row r="126" spans="7:16">
      <c r="G126" s="75" t="s">
        <v>330</v>
      </c>
      <c r="H126" s="86">
        <f>VAR(H101:H120)</f>
        <v>1.0000154516966124</v>
      </c>
      <c r="I126" s="86">
        <f t="shared" ref="I126:N126" si="29">VAR(I101:I120)</f>
        <v>0.99998484875023275</v>
      </c>
      <c r="J126" s="86">
        <f t="shared" si="29"/>
        <v>1.0000019474647119</v>
      </c>
      <c r="K126" s="86">
        <f t="shared" si="29"/>
        <v>1.0000143902203285</v>
      </c>
      <c r="L126" s="86">
        <f t="shared" si="29"/>
        <v>1.0000080450070177</v>
      </c>
      <c r="M126" s="86">
        <f t="shared" si="29"/>
        <v>0.99999360381623159</v>
      </c>
      <c r="N126" s="86">
        <f t="shared" si="29"/>
        <v>0.99999588439727893</v>
      </c>
    </row>
    <row r="127" spans="7:16">
      <c r="G127" s="75" t="s">
        <v>184</v>
      </c>
      <c r="H127" s="86">
        <f>STDEV(H101:H120)</f>
        <v>1.0000077258184621</v>
      </c>
      <c r="I127" s="86">
        <f t="shared" ref="I127:N127" si="30">STDEV(I101:I120)</f>
        <v>0.9999924243464211</v>
      </c>
      <c r="J127" s="86">
        <f t="shared" si="30"/>
        <v>1.0000009737318818</v>
      </c>
      <c r="K127" s="86">
        <f t="shared" si="30"/>
        <v>1.0000071950842797</v>
      </c>
      <c r="L127" s="86">
        <f t="shared" si="30"/>
        <v>1.0000040224954185</v>
      </c>
      <c r="M127" s="86">
        <f t="shared" si="30"/>
        <v>0.99999680190300189</v>
      </c>
      <c r="N127" s="86">
        <f t="shared" si="30"/>
        <v>0.99999794219652216</v>
      </c>
    </row>
    <row r="128" spans="7:16">
      <c r="G128" s="85"/>
      <c r="H128" s="85"/>
      <c r="I128" s="85"/>
      <c r="J128" s="85"/>
      <c r="K128" s="85"/>
      <c r="L128" s="85"/>
      <c r="M128" s="85"/>
      <c r="N128" s="85"/>
      <c r="O128" s="85"/>
      <c r="P128" s="85"/>
    </row>
  </sheetData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L148"/>
  <sheetViews>
    <sheetView workbookViewId="0">
      <selection activeCell="B3" sqref="B3:K27"/>
    </sheetView>
  </sheetViews>
  <sheetFormatPr defaultColWidth="10.75" defaultRowHeight="12.75"/>
  <cols>
    <col min="1" max="1" width="10.75" style="75"/>
    <col min="2" max="2" width="12.25" style="75" customWidth="1"/>
    <col min="3" max="9" width="6" style="75" customWidth="1"/>
    <col min="10" max="10" width="1.875" style="75" customWidth="1"/>
    <col min="11" max="11" width="6" style="75" customWidth="1"/>
    <col min="12" max="12" width="10.75" style="75"/>
    <col min="13" max="13" width="12.25" style="75" customWidth="1"/>
    <col min="14" max="33" width="6.75" style="75" customWidth="1"/>
    <col min="34" max="35" width="10.75" style="75"/>
    <col min="36" max="42" width="7.625" style="75" customWidth="1"/>
    <col min="43" max="44" width="10.75" style="75"/>
    <col min="45" max="64" width="7.625" style="75" customWidth="1"/>
    <col min="65" max="16384" width="10.75" style="75"/>
  </cols>
  <sheetData>
    <row r="1" spans="1:51" ht="15.75">
      <c r="A1" s="74" t="s">
        <v>52</v>
      </c>
    </row>
    <row r="3" spans="1:51" ht="13.5" thickBot="1">
      <c r="B3" s="76" t="s">
        <v>443</v>
      </c>
      <c r="C3" s="77"/>
      <c r="D3" s="78"/>
      <c r="E3" s="77"/>
      <c r="F3" s="77"/>
      <c r="G3" s="77"/>
      <c r="H3" s="77"/>
      <c r="I3" s="77"/>
      <c r="J3" s="77"/>
      <c r="K3" s="77"/>
      <c r="M3" s="76" t="s">
        <v>137</v>
      </c>
      <c r="N3" s="77"/>
      <c r="O3" s="77"/>
      <c r="P3" s="77"/>
      <c r="Q3" s="77"/>
      <c r="R3" s="77"/>
      <c r="S3" s="77"/>
      <c r="T3" s="77"/>
    </row>
    <row r="4" spans="1:51" ht="14.25" thickTop="1" thickBot="1">
      <c r="C4" s="65" t="s">
        <v>467</v>
      </c>
      <c r="D4" s="65" t="s">
        <v>468</v>
      </c>
      <c r="E4" s="65" t="s">
        <v>469</v>
      </c>
      <c r="F4" s="65" t="s">
        <v>470</v>
      </c>
      <c r="G4" s="65" t="s">
        <v>247</v>
      </c>
      <c r="H4" s="65" t="s">
        <v>248</v>
      </c>
      <c r="I4" s="65" t="s">
        <v>249</v>
      </c>
      <c r="J4" s="64"/>
      <c r="K4" s="64"/>
      <c r="N4" s="65" t="s">
        <v>467</v>
      </c>
      <c r="O4" s="65" t="s">
        <v>468</v>
      </c>
      <c r="P4" s="65" t="s">
        <v>469</v>
      </c>
      <c r="Q4" s="65" t="s">
        <v>470</v>
      </c>
      <c r="R4" s="65" t="s">
        <v>247</v>
      </c>
      <c r="S4" s="65" t="s">
        <v>248</v>
      </c>
      <c r="T4" s="65" t="s">
        <v>249</v>
      </c>
      <c r="AI4" s="76" t="s">
        <v>27</v>
      </c>
      <c r="AJ4" s="77"/>
      <c r="AK4" s="77"/>
      <c r="AL4" s="77"/>
      <c r="AM4" s="77"/>
      <c r="AN4" s="77"/>
      <c r="AO4" s="77"/>
      <c r="AP4" s="77"/>
      <c r="AR4" s="77" t="s">
        <v>13</v>
      </c>
      <c r="AS4" s="77"/>
      <c r="AT4" s="77"/>
      <c r="AU4" s="77"/>
      <c r="AV4" s="77"/>
      <c r="AW4" s="77"/>
      <c r="AX4" s="77"/>
      <c r="AY4" s="77"/>
    </row>
    <row r="5" spans="1:51" ht="13.5" thickTop="1">
      <c r="B5" s="79" t="s">
        <v>444</v>
      </c>
      <c r="C5" s="66" t="s">
        <v>250</v>
      </c>
      <c r="D5" s="66" t="s">
        <v>251</v>
      </c>
      <c r="E5" s="66" t="s">
        <v>252</v>
      </c>
      <c r="F5" s="66" t="s">
        <v>252</v>
      </c>
      <c r="G5" s="66" t="s">
        <v>252</v>
      </c>
      <c r="H5" s="66" t="s">
        <v>253</v>
      </c>
      <c r="I5" s="66" t="s">
        <v>250</v>
      </c>
      <c r="J5" s="67"/>
      <c r="K5" s="66" t="s">
        <v>357</v>
      </c>
      <c r="L5" s="81"/>
      <c r="M5" s="85" t="s">
        <v>138</v>
      </c>
      <c r="N5" s="66" t="s">
        <v>250</v>
      </c>
      <c r="O5" s="66" t="s">
        <v>251</v>
      </c>
      <c r="P5" s="66" t="s">
        <v>252</v>
      </c>
      <c r="Q5" s="66" t="s">
        <v>252</v>
      </c>
      <c r="R5" s="66" t="s">
        <v>252</v>
      </c>
      <c r="S5" s="66" t="s">
        <v>253</v>
      </c>
      <c r="T5" s="66" t="s">
        <v>250</v>
      </c>
      <c r="AJ5" s="65" t="s">
        <v>467</v>
      </c>
      <c r="AK5" s="65" t="s">
        <v>468</v>
      </c>
      <c r="AL5" s="65" t="s">
        <v>469</v>
      </c>
      <c r="AM5" s="65" t="s">
        <v>470</v>
      </c>
      <c r="AN5" s="65" t="s">
        <v>247</v>
      </c>
      <c r="AO5" s="65" t="s">
        <v>248</v>
      </c>
      <c r="AP5" s="65" t="s">
        <v>249</v>
      </c>
      <c r="AR5" s="91"/>
      <c r="AS5" s="94">
        <v>1</v>
      </c>
      <c r="AT5" s="94">
        <v>2</v>
      </c>
      <c r="AU5" s="94">
        <v>3</v>
      </c>
      <c r="AV5" s="94">
        <v>4</v>
      </c>
      <c r="AW5" s="94">
        <v>5</v>
      </c>
      <c r="AX5" s="94">
        <v>6</v>
      </c>
      <c r="AY5" s="94">
        <v>7</v>
      </c>
    </row>
    <row r="6" spans="1:51">
      <c r="A6" s="75">
        <v>1</v>
      </c>
      <c r="B6" s="82" t="s">
        <v>413</v>
      </c>
      <c r="C6" s="63">
        <v>8</v>
      </c>
      <c r="D6" s="63">
        <v>5</v>
      </c>
      <c r="E6" s="63">
        <v>3</v>
      </c>
      <c r="F6" s="63">
        <v>10</v>
      </c>
      <c r="G6" s="63">
        <v>4</v>
      </c>
      <c r="H6" s="63">
        <v>5</v>
      </c>
      <c r="I6" s="63">
        <v>1</v>
      </c>
      <c r="J6" s="63"/>
      <c r="K6" s="63">
        <v>36</v>
      </c>
      <c r="L6" s="81"/>
      <c r="M6" s="75" t="s">
        <v>370</v>
      </c>
      <c r="N6" s="86">
        <f>1/(SQRT(C54))</f>
        <v>2.3459746636104484</v>
      </c>
      <c r="O6" s="87">
        <v>0</v>
      </c>
      <c r="P6" s="87">
        <v>0</v>
      </c>
      <c r="Q6" s="87">
        <v>0</v>
      </c>
      <c r="R6" s="87">
        <v>0</v>
      </c>
      <c r="S6" s="87">
        <v>0</v>
      </c>
      <c r="T6" s="87">
        <v>0</v>
      </c>
      <c r="AI6" s="85" t="s">
        <v>138</v>
      </c>
      <c r="AJ6" s="66" t="s">
        <v>250</v>
      </c>
      <c r="AK6" s="66" t="s">
        <v>251</v>
      </c>
      <c r="AL6" s="66" t="s">
        <v>252</v>
      </c>
      <c r="AM6" s="66" t="s">
        <v>252</v>
      </c>
      <c r="AN6" s="66" t="s">
        <v>252</v>
      </c>
      <c r="AO6" s="66" t="s">
        <v>253</v>
      </c>
      <c r="AP6" s="66" t="s">
        <v>250</v>
      </c>
      <c r="AR6" s="81">
        <v>1</v>
      </c>
      <c r="AS6" s="86">
        <f t="array" ref="AS6:AX11">MINVERSE(AJ45:AO50)</f>
        <v>1</v>
      </c>
      <c r="AT6" s="87">
        <v>0</v>
      </c>
      <c r="AU6" s="87">
        <v>0</v>
      </c>
      <c r="AV6" s="87">
        <v>0</v>
      </c>
      <c r="AW6" s="87">
        <v>0</v>
      </c>
      <c r="AX6" s="87">
        <v>0</v>
      </c>
      <c r="AY6" s="84" t="s">
        <v>169</v>
      </c>
    </row>
    <row r="7" spans="1:51">
      <c r="A7" s="75">
        <v>2</v>
      </c>
      <c r="B7" s="82" t="s">
        <v>414</v>
      </c>
      <c r="C7" s="63">
        <v>6</v>
      </c>
      <c r="D7" s="63">
        <v>6</v>
      </c>
      <c r="E7" s="63">
        <v>5</v>
      </c>
      <c r="F7" s="63">
        <v>10</v>
      </c>
      <c r="G7" s="63">
        <v>2</v>
      </c>
      <c r="H7" s="63">
        <v>3</v>
      </c>
      <c r="I7" s="63">
        <v>1</v>
      </c>
      <c r="J7" s="63"/>
      <c r="K7" s="63">
        <v>33</v>
      </c>
      <c r="L7" s="81"/>
      <c r="M7" s="75" t="s">
        <v>371</v>
      </c>
      <c r="N7" s="87">
        <v>0</v>
      </c>
      <c r="O7" s="86">
        <f>1/(SQRT(D54))</f>
        <v>2.8994125968191224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AI7" s="75" t="s">
        <v>370</v>
      </c>
      <c r="AJ7" s="86">
        <f t="array" ref="AJ7:AP13">MMULT(N93:AG99,N68:T87)</f>
        <v>0.19053481694930047</v>
      </c>
      <c r="AK7" s="86">
        <v>0.14817941277762112</v>
      </c>
      <c r="AL7" s="86">
        <v>0.10735453479921225</v>
      </c>
      <c r="AM7" s="86">
        <v>0.21354723049265439</v>
      </c>
      <c r="AN7" s="86">
        <v>0.15940000992515244</v>
      </c>
      <c r="AO7" s="86">
        <v>0.17858886178672831</v>
      </c>
      <c r="AP7" s="86">
        <v>9.7316964007497231E-2</v>
      </c>
      <c r="AR7" s="81">
        <v>2</v>
      </c>
      <c r="AS7" s="87">
        <v>0</v>
      </c>
      <c r="AT7" s="86">
        <v>2.9235267310234305</v>
      </c>
      <c r="AU7" s="87">
        <v>0</v>
      </c>
      <c r="AV7" s="87">
        <v>0</v>
      </c>
      <c r="AW7" s="87">
        <v>0</v>
      </c>
      <c r="AX7" s="87">
        <v>0</v>
      </c>
      <c r="AY7" s="84" t="s">
        <v>169</v>
      </c>
    </row>
    <row r="8" spans="1:51">
      <c r="A8" s="75">
        <v>3</v>
      </c>
      <c r="B8" s="82" t="s">
        <v>415</v>
      </c>
      <c r="C8" s="63">
        <v>8</v>
      </c>
      <c r="D8" s="63">
        <v>7</v>
      </c>
      <c r="E8" s="63">
        <v>7</v>
      </c>
      <c r="F8" s="63">
        <v>13</v>
      </c>
      <c r="G8" s="63">
        <v>2</v>
      </c>
      <c r="H8" s="63">
        <v>2</v>
      </c>
      <c r="I8" s="63">
        <v>1</v>
      </c>
      <c r="J8" s="63"/>
      <c r="K8" s="63">
        <v>40</v>
      </c>
      <c r="L8" s="81"/>
      <c r="M8" s="75" t="s">
        <v>372</v>
      </c>
      <c r="N8" s="87">
        <v>0</v>
      </c>
      <c r="O8" s="87">
        <v>0</v>
      </c>
      <c r="P8" s="86">
        <f>1/(SQRT(E54))</f>
        <v>4.2179020465651655</v>
      </c>
      <c r="Q8" s="87">
        <v>0</v>
      </c>
      <c r="R8" s="87">
        <v>0</v>
      </c>
      <c r="S8" s="87">
        <v>0</v>
      </c>
      <c r="T8" s="87">
        <v>0</v>
      </c>
      <c r="AI8" s="75" t="s">
        <v>371</v>
      </c>
      <c r="AJ8" s="86">
        <v>0.14817941277762112</v>
      </c>
      <c r="AK8" s="86">
        <v>0.1382299868097572</v>
      </c>
      <c r="AL8" s="86">
        <v>9.7648228728305031E-2</v>
      </c>
      <c r="AM8" s="86">
        <v>0.17599019145744396</v>
      </c>
      <c r="AN8" s="86">
        <v>0.12015787302624892</v>
      </c>
      <c r="AO8" s="86">
        <v>0.14000877346833512</v>
      </c>
      <c r="AP8" s="86">
        <v>6.9136407097867447E-2</v>
      </c>
      <c r="AR8" s="81">
        <v>3</v>
      </c>
      <c r="AS8" s="87">
        <v>0</v>
      </c>
      <c r="AT8" s="87">
        <v>0</v>
      </c>
      <c r="AU8" s="86">
        <v>5.2704627669472996</v>
      </c>
      <c r="AV8" s="87">
        <v>0</v>
      </c>
      <c r="AW8" s="87">
        <v>0</v>
      </c>
      <c r="AX8" s="87">
        <v>0</v>
      </c>
      <c r="AY8" s="84" t="s">
        <v>169</v>
      </c>
    </row>
    <row r="9" spans="1:51">
      <c r="A9" s="75">
        <v>4</v>
      </c>
      <c r="B9" s="82" t="s">
        <v>416</v>
      </c>
      <c r="C9" s="63">
        <v>10</v>
      </c>
      <c r="D9" s="63">
        <v>1</v>
      </c>
      <c r="E9" s="63">
        <v>1</v>
      </c>
      <c r="F9" s="63">
        <v>10</v>
      </c>
      <c r="G9" s="63">
        <v>10</v>
      </c>
      <c r="H9" s="63">
        <v>11</v>
      </c>
      <c r="I9" s="63">
        <v>4</v>
      </c>
      <c r="J9" s="63"/>
      <c r="K9" s="63">
        <v>47</v>
      </c>
      <c r="L9" s="81"/>
      <c r="M9" s="75" t="s">
        <v>126</v>
      </c>
      <c r="N9" s="87">
        <v>0</v>
      </c>
      <c r="O9" s="87">
        <v>0</v>
      </c>
      <c r="P9" s="87">
        <v>0</v>
      </c>
      <c r="Q9" s="86">
        <f>1/(SQRT(F54))</f>
        <v>2.0789501913959088</v>
      </c>
      <c r="R9" s="87">
        <v>0</v>
      </c>
      <c r="S9" s="87">
        <v>0</v>
      </c>
      <c r="T9" s="87">
        <v>0</v>
      </c>
      <c r="AI9" s="75" t="s">
        <v>372</v>
      </c>
      <c r="AJ9" s="86">
        <v>0.10735453479921225</v>
      </c>
      <c r="AK9" s="86">
        <v>9.7648228728305031E-2</v>
      </c>
      <c r="AL9" s="86">
        <v>9.4310435563345812E-2</v>
      </c>
      <c r="AM9" s="86">
        <v>0.13117201276572035</v>
      </c>
      <c r="AN9" s="86">
        <v>6.8382005057668241E-2</v>
      </c>
      <c r="AO9" s="86">
        <v>7.548866863957969E-2</v>
      </c>
      <c r="AP9" s="86">
        <v>4.7902823934317308E-2</v>
      </c>
      <c r="AR9" s="81">
        <v>4</v>
      </c>
      <c r="AS9" s="87">
        <v>0</v>
      </c>
      <c r="AT9" s="87">
        <v>0</v>
      </c>
      <c r="AU9" s="87">
        <v>0</v>
      </c>
      <c r="AV9" s="86">
        <v>8.4515425472851664</v>
      </c>
      <c r="AW9" s="87">
        <v>0</v>
      </c>
      <c r="AX9" s="87">
        <v>0</v>
      </c>
      <c r="AY9" s="84" t="s">
        <v>169</v>
      </c>
    </row>
    <row r="10" spans="1:51">
      <c r="A10" s="75">
        <v>5</v>
      </c>
      <c r="B10" s="82" t="s">
        <v>417</v>
      </c>
      <c r="C10" s="63">
        <v>10</v>
      </c>
      <c r="D10" s="63">
        <v>9</v>
      </c>
      <c r="E10" s="63">
        <v>1</v>
      </c>
      <c r="F10" s="63">
        <v>14</v>
      </c>
      <c r="G10" s="63">
        <v>13</v>
      </c>
      <c r="H10" s="63">
        <v>19</v>
      </c>
      <c r="I10" s="63">
        <v>2</v>
      </c>
      <c r="J10" s="63"/>
      <c r="K10" s="63">
        <v>68</v>
      </c>
      <c r="L10" s="81"/>
      <c r="M10" s="75" t="s">
        <v>339</v>
      </c>
      <c r="N10" s="87">
        <v>0</v>
      </c>
      <c r="O10" s="87">
        <v>0</v>
      </c>
      <c r="P10" s="87">
        <v>0</v>
      </c>
      <c r="Q10" s="87">
        <v>0</v>
      </c>
      <c r="R10" s="86">
        <f>1/(SQRT(G54))</f>
        <v>2.5680396387530502</v>
      </c>
      <c r="S10" s="87">
        <v>0</v>
      </c>
      <c r="T10" s="87">
        <v>0</v>
      </c>
      <c r="AI10" s="75" t="s">
        <v>126</v>
      </c>
      <c r="AJ10" s="86">
        <v>0.21354723049265439</v>
      </c>
      <c r="AK10" s="86">
        <v>0.17599019145744396</v>
      </c>
      <c r="AL10" s="86">
        <v>0.13117201276572035</v>
      </c>
      <c r="AM10" s="86">
        <v>0.24502913725440306</v>
      </c>
      <c r="AN10" s="86">
        <v>0.17309406277951597</v>
      </c>
      <c r="AO10" s="86">
        <v>0.19558738445896104</v>
      </c>
      <c r="AP10" s="86">
        <v>0.10406194920644879</v>
      </c>
      <c r="AR10" s="81">
        <v>5</v>
      </c>
      <c r="AS10" s="87">
        <v>0</v>
      </c>
      <c r="AT10" s="87">
        <v>0</v>
      </c>
      <c r="AU10" s="87">
        <v>0</v>
      </c>
      <c r="AV10" s="87">
        <v>0</v>
      </c>
      <c r="AW10" s="86">
        <v>18.257418583505537</v>
      </c>
      <c r="AX10" s="87">
        <v>0</v>
      </c>
      <c r="AY10" s="84" t="s">
        <v>169</v>
      </c>
    </row>
    <row r="11" spans="1:51">
      <c r="A11" s="75">
        <v>6</v>
      </c>
      <c r="B11" s="82" t="s">
        <v>179</v>
      </c>
      <c r="C11" s="63">
        <v>9</v>
      </c>
      <c r="D11" s="63">
        <v>3</v>
      </c>
      <c r="E11" s="63">
        <v>1</v>
      </c>
      <c r="F11" s="63">
        <v>9</v>
      </c>
      <c r="G11" s="63">
        <v>8</v>
      </c>
      <c r="H11" s="63">
        <v>10</v>
      </c>
      <c r="I11" s="63">
        <v>3</v>
      </c>
      <c r="J11" s="63"/>
      <c r="K11" s="63">
        <v>43</v>
      </c>
      <c r="L11" s="81"/>
      <c r="M11" s="75" t="s">
        <v>340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6">
        <f>1/(SQRT(H54))</f>
        <v>2.2658835336176182</v>
      </c>
      <c r="T11" s="87">
        <v>0</v>
      </c>
      <c r="AI11" s="75" t="s">
        <v>339</v>
      </c>
      <c r="AJ11" s="86">
        <v>0.15940000992515244</v>
      </c>
      <c r="AK11" s="86">
        <v>0.12015787302624892</v>
      </c>
      <c r="AL11" s="86">
        <v>6.8382005057668241E-2</v>
      </c>
      <c r="AM11" s="86">
        <v>0.17309406277951597</v>
      </c>
      <c r="AN11" s="86">
        <v>0.16974873360537865</v>
      </c>
      <c r="AO11" s="86">
        <v>0.19253401396025716</v>
      </c>
      <c r="AP11" s="86">
        <v>0.11527165319124304</v>
      </c>
      <c r="AR11" s="81">
        <v>6</v>
      </c>
      <c r="AS11" s="87">
        <v>0</v>
      </c>
      <c r="AT11" s="87">
        <v>0</v>
      </c>
      <c r="AU11" s="87">
        <v>0</v>
      </c>
      <c r="AV11" s="87">
        <v>0</v>
      </c>
      <c r="AW11" s="87">
        <v>0</v>
      </c>
      <c r="AX11" s="86">
        <v>57.735026918962575</v>
      </c>
      <c r="AY11" s="84" t="s">
        <v>169</v>
      </c>
    </row>
    <row r="12" spans="1:51">
      <c r="A12" s="75">
        <v>7</v>
      </c>
      <c r="B12" s="82" t="s">
        <v>400</v>
      </c>
      <c r="C12" s="63">
        <v>5</v>
      </c>
      <c r="D12" s="63">
        <v>4</v>
      </c>
      <c r="E12" s="63">
        <v>1</v>
      </c>
      <c r="F12" s="63">
        <v>7</v>
      </c>
      <c r="G12" s="63">
        <v>6</v>
      </c>
      <c r="H12" s="63">
        <v>9</v>
      </c>
      <c r="I12" s="63">
        <v>3</v>
      </c>
      <c r="J12" s="63"/>
      <c r="K12" s="63">
        <v>35</v>
      </c>
      <c r="L12" s="81"/>
      <c r="M12" s="75" t="s">
        <v>341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6">
        <f>1/(SQRT(I54))</f>
        <v>3.9115214431215892</v>
      </c>
      <c r="AI12" s="75" t="s">
        <v>340</v>
      </c>
      <c r="AJ12" s="86">
        <v>0.17858886178672831</v>
      </c>
      <c r="AK12" s="86">
        <v>0.14000877346833512</v>
      </c>
      <c r="AL12" s="86">
        <v>7.548866863957969E-2</v>
      </c>
      <c r="AM12" s="86">
        <v>0.19558738445896104</v>
      </c>
      <c r="AN12" s="86">
        <v>0.19253401396025716</v>
      </c>
      <c r="AO12" s="86">
        <v>0.22156346401827273</v>
      </c>
      <c r="AP12" s="86">
        <v>0.12588065709840687</v>
      </c>
      <c r="AR12" s="81">
        <v>7</v>
      </c>
      <c r="AS12" s="95" t="s">
        <v>169</v>
      </c>
      <c r="AT12" s="95" t="s">
        <v>169</v>
      </c>
      <c r="AU12" s="95" t="s">
        <v>169</v>
      </c>
      <c r="AV12" s="95" t="s">
        <v>169</v>
      </c>
      <c r="AW12" s="95" t="s">
        <v>169</v>
      </c>
      <c r="AX12" s="95" t="s">
        <v>169</v>
      </c>
      <c r="AY12" s="84" t="s">
        <v>169</v>
      </c>
    </row>
    <row r="13" spans="1:51">
      <c r="A13" s="75">
        <v>8</v>
      </c>
      <c r="B13" s="82" t="s">
        <v>14</v>
      </c>
      <c r="C13" s="63">
        <v>6</v>
      </c>
      <c r="D13" s="63">
        <v>4</v>
      </c>
      <c r="E13" s="63">
        <v>1</v>
      </c>
      <c r="F13" s="63">
        <v>7</v>
      </c>
      <c r="G13" s="63">
        <v>5</v>
      </c>
      <c r="H13" s="63">
        <v>7</v>
      </c>
      <c r="I13" s="63">
        <v>2</v>
      </c>
      <c r="J13" s="63"/>
      <c r="K13" s="63">
        <v>32</v>
      </c>
      <c r="L13" s="81"/>
      <c r="M13" s="85"/>
      <c r="N13" s="85"/>
      <c r="O13" s="85"/>
      <c r="P13" s="85"/>
      <c r="Q13" s="85"/>
      <c r="R13" s="85"/>
      <c r="S13" s="85"/>
      <c r="T13" s="85"/>
      <c r="AI13" s="75" t="s">
        <v>341</v>
      </c>
      <c r="AJ13" s="86">
        <v>9.7316964007497231E-2</v>
      </c>
      <c r="AK13" s="86">
        <v>6.9136407097867447E-2</v>
      </c>
      <c r="AL13" s="86">
        <v>4.7902823934317308E-2</v>
      </c>
      <c r="AM13" s="86">
        <v>0.10406194920644879</v>
      </c>
      <c r="AN13" s="86">
        <v>0.11527165319124304</v>
      </c>
      <c r="AO13" s="86">
        <v>0.12588065709840687</v>
      </c>
      <c r="AP13" s="86">
        <v>0.11137518473104562</v>
      </c>
      <c r="AR13" s="85"/>
      <c r="AS13" s="85"/>
      <c r="AT13" s="85"/>
      <c r="AU13" s="85"/>
      <c r="AV13" s="85"/>
      <c r="AW13" s="85"/>
      <c r="AX13" s="85"/>
      <c r="AY13" s="85"/>
    </row>
    <row r="14" spans="1:51">
      <c r="A14" s="75">
        <v>9</v>
      </c>
      <c r="B14" s="82" t="s">
        <v>376</v>
      </c>
      <c r="C14" s="63">
        <v>9</v>
      </c>
      <c r="D14" s="63">
        <v>7</v>
      </c>
      <c r="E14" s="63">
        <v>3</v>
      </c>
      <c r="F14" s="63">
        <v>12</v>
      </c>
      <c r="G14" s="63">
        <v>4</v>
      </c>
      <c r="H14" s="63">
        <v>5</v>
      </c>
      <c r="I14" s="63">
        <v>1</v>
      </c>
      <c r="J14" s="63"/>
      <c r="K14" s="63">
        <v>41</v>
      </c>
      <c r="L14" s="81"/>
      <c r="AI14" s="85"/>
      <c r="AJ14" s="85"/>
      <c r="AK14" s="85"/>
      <c r="AL14" s="85"/>
      <c r="AM14" s="85"/>
      <c r="AN14" s="85"/>
      <c r="AO14" s="85"/>
      <c r="AP14" s="85"/>
    </row>
    <row r="15" spans="1:51" ht="13.5" thickBot="1">
      <c r="A15" s="75">
        <v>10</v>
      </c>
      <c r="B15" s="82" t="s">
        <v>16</v>
      </c>
      <c r="C15" s="63">
        <v>9</v>
      </c>
      <c r="D15" s="63">
        <v>5</v>
      </c>
      <c r="E15" s="63">
        <v>1</v>
      </c>
      <c r="F15" s="63">
        <v>10</v>
      </c>
      <c r="G15" s="63">
        <v>8</v>
      </c>
      <c r="H15" s="63">
        <v>10</v>
      </c>
      <c r="I15" s="63">
        <v>2</v>
      </c>
      <c r="J15" s="63"/>
      <c r="K15" s="63">
        <v>45</v>
      </c>
      <c r="L15" s="81"/>
      <c r="M15" s="76" t="s">
        <v>55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</row>
    <row r="16" spans="1:51" ht="13.5" thickTop="1">
      <c r="A16" s="75">
        <v>11</v>
      </c>
      <c r="B16" s="82" t="s">
        <v>377</v>
      </c>
      <c r="C16" s="63">
        <v>5</v>
      </c>
      <c r="D16" s="63">
        <v>3</v>
      </c>
      <c r="E16" s="63">
        <v>2</v>
      </c>
      <c r="F16" s="63">
        <v>6</v>
      </c>
      <c r="G16" s="63">
        <v>3</v>
      </c>
      <c r="H16" s="63">
        <v>4</v>
      </c>
      <c r="I16" s="63">
        <v>2</v>
      </c>
      <c r="J16" s="63"/>
      <c r="K16" s="63">
        <v>25</v>
      </c>
      <c r="L16" s="81"/>
      <c r="M16" s="79" t="s">
        <v>444</v>
      </c>
      <c r="N16" s="80" t="s">
        <v>413</v>
      </c>
      <c r="O16" s="80" t="s">
        <v>414</v>
      </c>
      <c r="P16" s="80" t="s">
        <v>415</v>
      </c>
      <c r="Q16" s="80" t="s">
        <v>416</v>
      </c>
      <c r="R16" s="80" t="s">
        <v>417</v>
      </c>
      <c r="S16" s="80" t="s">
        <v>179</v>
      </c>
      <c r="T16" s="80" t="s">
        <v>400</v>
      </c>
      <c r="U16" s="80" t="s">
        <v>14</v>
      </c>
      <c r="V16" s="80" t="s">
        <v>376</v>
      </c>
      <c r="W16" s="80" t="s">
        <v>16</v>
      </c>
      <c r="X16" s="80" t="s">
        <v>377</v>
      </c>
      <c r="Y16" s="80" t="s">
        <v>272</v>
      </c>
      <c r="Z16" s="80" t="s">
        <v>221</v>
      </c>
      <c r="AA16" s="80" t="s">
        <v>181</v>
      </c>
      <c r="AB16" s="80" t="s">
        <v>182</v>
      </c>
      <c r="AC16" s="80" t="s">
        <v>156</v>
      </c>
      <c r="AD16" s="80" t="s">
        <v>157</v>
      </c>
      <c r="AE16" s="80" t="s">
        <v>10</v>
      </c>
      <c r="AF16" s="80" t="s">
        <v>158</v>
      </c>
      <c r="AG16" s="80" t="s">
        <v>11</v>
      </c>
    </row>
    <row r="17" spans="1:51" ht="13.5" thickBot="1">
      <c r="A17" s="75">
        <v>12</v>
      </c>
      <c r="B17" s="82" t="s">
        <v>272</v>
      </c>
      <c r="C17" s="63">
        <v>9</v>
      </c>
      <c r="D17" s="63">
        <v>7</v>
      </c>
      <c r="E17" s="63">
        <v>3</v>
      </c>
      <c r="F17" s="63">
        <v>12</v>
      </c>
      <c r="G17" s="63">
        <v>5</v>
      </c>
      <c r="H17" s="63">
        <v>6</v>
      </c>
      <c r="I17" s="63">
        <v>1</v>
      </c>
      <c r="J17" s="63"/>
      <c r="K17" s="63">
        <v>43</v>
      </c>
      <c r="L17" s="81"/>
      <c r="M17" s="82" t="s">
        <v>413</v>
      </c>
      <c r="N17" s="83">
        <f>1/SQRT(K33)</f>
        <v>4.6097722286464435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I17" s="77" t="s">
        <v>458</v>
      </c>
      <c r="AJ17" s="77"/>
      <c r="AK17" s="77"/>
      <c r="AL17" s="77"/>
      <c r="AM17" s="77"/>
    </row>
    <row r="18" spans="1:51" ht="13.5" thickTop="1">
      <c r="A18" s="75">
        <v>13</v>
      </c>
      <c r="B18" s="82" t="s">
        <v>221</v>
      </c>
      <c r="C18" s="63">
        <v>6</v>
      </c>
      <c r="D18" s="63">
        <v>6</v>
      </c>
      <c r="E18" s="63">
        <v>2</v>
      </c>
      <c r="F18" s="63">
        <v>8</v>
      </c>
      <c r="G18" s="63">
        <v>5</v>
      </c>
      <c r="H18" s="63">
        <v>7</v>
      </c>
      <c r="I18" s="63">
        <v>2</v>
      </c>
      <c r="J18" s="63"/>
      <c r="K18" s="63">
        <v>36</v>
      </c>
      <c r="L18" s="81"/>
      <c r="M18" s="82" t="s">
        <v>414</v>
      </c>
      <c r="N18" s="84">
        <v>0</v>
      </c>
      <c r="O18" s="83">
        <f>1/SQRT(K34)</f>
        <v>4.8147500643146763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J18" s="81" t="s">
        <v>224</v>
      </c>
      <c r="AK18" s="81" t="s">
        <v>225</v>
      </c>
      <c r="AL18" s="81" t="s">
        <v>227</v>
      </c>
      <c r="AM18" s="81" t="s">
        <v>465</v>
      </c>
    </row>
    <row r="19" spans="1:51" ht="13.5" thickBot="1">
      <c r="A19" s="75">
        <v>14</v>
      </c>
      <c r="B19" s="82" t="s">
        <v>181</v>
      </c>
      <c r="C19" s="63">
        <v>3</v>
      </c>
      <c r="D19" s="63">
        <v>1</v>
      </c>
      <c r="E19" s="63">
        <v>0</v>
      </c>
      <c r="F19" s="63">
        <v>3</v>
      </c>
      <c r="G19" s="63">
        <v>8</v>
      </c>
      <c r="H19" s="63">
        <v>9</v>
      </c>
      <c r="I19" s="63">
        <v>8</v>
      </c>
      <c r="J19" s="63"/>
      <c r="K19" s="63">
        <v>32</v>
      </c>
      <c r="L19" s="81"/>
      <c r="M19" s="82" t="s">
        <v>415</v>
      </c>
      <c r="N19" s="84">
        <v>0</v>
      </c>
      <c r="O19" s="84">
        <v>0</v>
      </c>
      <c r="P19" s="83">
        <f>1/SQRT(K35)</f>
        <v>4.3732139211339751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I19" s="85"/>
      <c r="AJ19" s="90" t="s">
        <v>325</v>
      </c>
      <c r="AK19" s="90" t="s">
        <v>226</v>
      </c>
      <c r="AL19" s="90" t="s">
        <v>228</v>
      </c>
      <c r="AM19" s="90" t="s">
        <v>228</v>
      </c>
      <c r="AR19" s="77" t="s">
        <v>214</v>
      </c>
      <c r="AS19" s="77"/>
      <c r="AT19" s="77"/>
      <c r="AU19" s="77"/>
      <c r="AV19" s="77"/>
      <c r="AW19" s="77"/>
      <c r="AX19" s="77"/>
      <c r="AY19" s="77"/>
    </row>
    <row r="20" spans="1:51" ht="13.5" thickTop="1">
      <c r="A20" s="75">
        <v>15</v>
      </c>
      <c r="B20" s="82" t="s">
        <v>182</v>
      </c>
      <c r="C20" s="63">
        <v>10</v>
      </c>
      <c r="D20" s="63">
        <v>9</v>
      </c>
      <c r="E20" s="63">
        <v>2</v>
      </c>
      <c r="F20" s="63">
        <v>14</v>
      </c>
      <c r="G20" s="63">
        <v>9</v>
      </c>
      <c r="H20" s="63">
        <v>13</v>
      </c>
      <c r="I20" s="63">
        <v>2</v>
      </c>
      <c r="J20" s="63"/>
      <c r="K20" s="63">
        <v>59</v>
      </c>
      <c r="L20" s="81"/>
      <c r="M20" s="82" t="s">
        <v>416</v>
      </c>
      <c r="N20" s="84">
        <v>0</v>
      </c>
      <c r="O20" s="84">
        <v>0</v>
      </c>
      <c r="P20" s="84">
        <v>0</v>
      </c>
      <c r="Q20" s="83">
        <f>1/SQRT(K36)</f>
        <v>4.0344263216324636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I20" s="88">
        <v>1</v>
      </c>
      <c r="AJ20" s="83">
        <f>SQRT(AK20)</f>
        <v>1</v>
      </c>
      <c r="AK20" s="89">
        <v>1</v>
      </c>
      <c r="AL20" s="89">
        <v>85.412000000000006</v>
      </c>
      <c r="AM20" s="89">
        <v>85.412000000000006</v>
      </c>
      <c r="AS20" s="188" t="s">
        <v>401</v>
      </c>
      <c r="AT20" s="188"/>
      <c r="AU20" s="188"/>
    </row>
    <row r="21" spans="1:51">
      <c r="A21" s="75">
        <v>16</v>
      </c>
      <c r="B21" s="82" t="s">
        <v>156</v>
      </c>
      <c r="C21" s="63">
        <v>6</v>
      </c>
      <c r="D21" s="63">
        <v>1</v>
      </c>
      <c r="E21" s="63">
        <v>1</v>
      </c>
      <c r="F21" s="63">
        <v>6</v>
      </c>
      <c r="G21" s="63">
        <v>5</v>
      </c>
      <c r="H21" s="63">
        <v>5</v>
      </c>
      <c r="I21" s="63">
        <v>3</v>
      </c>
      <c r="J21" s="63"/>
      <c r="K21" s="63">
        <v>27</v>
      </c>
      <c r="L21" s="81"/>
      <c r="M21" s="82" t="s">
        <v>417</v>
      </c>
      <c r="N21" s="84">
        <v>0</v>
      </c>
      <c r="O21" s="84">
        <v>0</v>
      </c>
      <c r="P21" s="84">
        <v>0</v>
      </c>
      <c r="Q21" s="84">
        <v>0</v>
      </c>
      <c r="R21" s="83">
        <f>1/SQRT(K37)</f>
        <v>3.3541019662496843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I21" s="88">
        <v>2</v>
      </c>
      <c r="AJ21" s="83">
        <f t="shared" ref="AJ21:AJ26" si="0">SQRT(AK21)</f>
        <v>0.34205262752974142</v>
      </c>
      <c r="AK21" s="89">
        <v>0.11700000000000001</v>
      </c>
      <c r="AL21" s="89">
        <v>10.022</v>
      </c>
      <c r="AM21" s="89">
        <v>95.435000000000002</v>
      </c>
      <c r="AS21" s="186" t="s">
        <v>402</v>
      </c>
      <c r="AT21" s="186"/>
      <c r="AU21" s="186"/>
      <c r="AW21" s="186" t="s">
        <v>403</v>
      </c>
      <c r="AX21" s="186"/>
      <c r="AY21" s="186"/>
    </row>
    <row r="22" spans="1:51">
      <c r="A22" s="75">
        <v>17</v>
      </c>
      <c r="B22" s="82" t="s">
        <v>157</v>
      </c>
      <c r="C22" s="63">
        <v>7</v>
      </c>
      <c r="D22" s="63">
        <v>2</v>
      </c>
      <c r="E22" s="63">
        <v>2</v>
      </c>
      <c r="F22" s="63">
        <v>8</v>
      </c>
      <c r="G22" s="63">
        <v>4</v>
      </c>
      <c r="H22" s="63">
        <v>5</v>
      </c>
      <c r="I22" s="63">
        <v>2</v>
      </c>
      <c r="J22" s="63"/>
      <c r="K22" s="63">
        <v>30</v>
      </c>
      <c r="L22" s="81"/>
      <c r="M22" s="82" t="s">
        <v>179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3">
        <f>1/SQRT(K38)</f>
        <v>4.2179020465651647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I22" s="88">
        <v>3</v>
      </c>
      <c r="AJ22" s="83">
        <f t="shared" si="0"/>
        <v>0.18973665961010275</v>
      </c>
      <c r="AK22" s="89">
        <v>3.5999999999999997E-2</v>
      </c>
      <c r="AL22" s="89">
        <v>3.09</v>
      </c>
      <c r="AM22" s="89">
        <v>98.524000000000001</v>
      </c>
      <c r="AR22" s="85" t="s">
        <v>444</v>
      </c>
      <c r="AS22" s="90">
        <v>1</v>
      </c>
      <c r="AT22" s="90">
        <v>2</v>
      </c>
      <c r="AU22" s="90">
        <v>3</v>
      </c>
      <c r="AV22" s="85"/>
      <c r="AW22" s="90">
        <v>1</v>
      </c>
      <c r="AX22" s="90">
        <v>2</v>
      </c>
      <c r="AY22" s="90">
        <v>3</v>
      </c>
    </row>
    <row r="23" spans="1:51">
      <c r="A23" s="75">
        <v>18</v>
      </c>
      <c r="B23" s="82" t="s">
        <v>10</v>
      </c>
      <c r="C23" s="63">
        <v>7</v>
      </c>
      <c r="D23" s="63">
        <v>5</v>
      </c>
      <c r="E23" s="63">
        <v>4</v>
      </c>
      <c r="F23" s="63">
        <v>10</v>
      </c>
      <c r="G23" s="63">
        <v>3</v>
      </c>
      <c r="H23" s="63">
        <v>3</v>
      </c>
      <c r="I23" s="63">
        <v>1</v>
      </c>
      <c r="J23" s="63"/>
      <c r="K23" s="63">
        <v>33</v>
      </c>
      <c r="L23" s="81"/>
      <c r="M23" s="82" t="s">
        <v>400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3">
        <f>1/SQRT(K39)</f>
        <v>4.6751623348438773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I23" s="88">
        <v>4</v>
      </c>
      <c r="AJ23" s="83">
        <f t="shared" si="0"/>
        <v>0.11832159566199232</v>
      </c>
      <c r="AK23" s="89">
        <v>1.4E-2</v>
      </c>
      <c r="AL23" s="89">
        <v>1.159</v>
      </c>
      <c r="AM23" s="89">
        <v>99.683000000000007</v>
      </c>
      <c r="AR23" s="82" t="s">
        <v>413</v>
      </c>
      <c r="AS23" s="86">
        <f t="array" ref="AS23:AU42">MMULT(N68:T87,AJ58:AL64)</f>
        <v>0.2168626038863756</v>
      </c>
      <c r="AT23" s="86">
        <v>2.0856857921839125E-2</v>
      </c>
      <c r="AU23" s="86">
        <v>1.1606964268675211E-3</v>
      </c>
      <c r="AW23" s="86">
        <f t="array" ref="AW23:AY42">MMULT(AS23:AU42,AS6:AU8)</f>
        <v>0.2168626038863756</v>
      </c>
      <c r="AX23" s="86">
        <v>6.0975581659654478E-2</v>
      </c>
      <c r="AY23" s="86">
        <v>6.1174073015340391E-3</v>
      </c>
    </row>
    <row r="24" spans="1:51">
      <c r="A24" s="75">
        <v>19</v>
      </c>
      <c r="B24" s="82" t="s">
        <v>158</v>
      </c>
      <c r="C24" s="63">
        <v>2</v>
      </c>
      <c r="D24" s="63">
        <v>2</v>
      </c>
      <c r="E24" s="63">
        <v>2</v>
      </c>
      <c r="F24" s="63">
        <v>3</v>
      </c>
      <c r="G24" s="63">
        <v>2</v>
      </c>
      <c r="H24" s="63">
        <v>2</v>
      </c>
      <c r="I24" s="63">
        <v>4</v>
      </c>
      <c r="J24" s="63"/>
      <c r="K24" s="63">
        <v>17</v>
      </c>
      <c r="L24" s="81"/>
      <c r="M24" s="82" t="s">
        <v>14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3">
        <f>1/SQRT(K40)</f>
        <v>4.8894018039019871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I24" s="88">
        <v>5</v>
      </c>
      <c r="AJ24" s="83">
        <f t="shared" si="0"/>
        <v>5.4772255750516613E-2</v>
      </c>
      <c r="AK24" s="89">
        <v>3.0000000000000001E-3</v>
      </c>
      <c r="AL24" s="89">
        <v>0.27</v>
      </c>
      <c r="AM24" s="89">
        <v>99.953000000000003</v>
      </c>
      <c r="AR24" s="82" t="s">
        <v>414</v>
      </c>
      <c r="AS24" s="86">
        <v>0.2076517234070574</v>
      </c>
      <c r="AT24" s="86">
        <v>3.9357449902492306E-2</v>
      </c>
      <c r="AU24" s="86">
        <v>-6.3506971174712712E-3</v>
      </c>
      <c r="AW24" s="86">
        <v>0.2076517234070574</v>
      </c>
      <c r="AX24" s="86">
        <v>0.11506255685485177</v>
      </c>
      <c r="AY24" s="86">
        <v>-3.3471112701791879E-2</v>
      </c>
    </row>
    <row r="25" spans="1:51">
      <c r="A25" s="75">
        <v>20</v>
      </c>
      <c r="B25" s="82" t="s">
        <v>11</v>
      </c>
      <c r="C25" s="63">
        <v>4</v>
      </c>
      <c r="D25" s="63">
        <v>4</v>
      </c>
      <c r="E25" s="63">
        <v>1</v>
      </c>
      <c r="F25" s="63">
        <v>5</v>
      </c>
      <c r="G25" s="63">
        <v>10</v>
      </c>
      <c r="H25" s="63">
        <v>14</v>
      </c>
      <c r="I25" s="63">
        <v>5</v>
      </c>
      <c r="J25" s="63"/>
      <c r="K25" s="63">
        <v>43</v>
      </c>
      <c r="L25" s="81"/>
      <c r="M25" s="82" t="s">
        <v>376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3">
        <f>1/SQRT(K41)</f>
        <v>4.3195528223840318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I25" s="88">
        <v>6</v>
      </c>
      <c r="AJ25" s="83">
        <f t="shared" si="0"/>
        <v>1.7320508075688773E-2</v>
      </c>
      <c r="AK25" s="89">
        <v>2.9999999999999997E-4</v>
      </c>
      <c r="AL25" s="89">
        <v>2.5999999999999999E-2</v>
      </c>
      <c r="AM25" s="89">
        <v>99.978999999999999</v>
      </c>
      <c r="AR25" s="82" t="s">
        <v>415</v>
      </c>
      <c r="AS25" s="86">
        <v>0.2286198002384856</v>
      </c>
      <c r="AT25" s="86">
        <v>5.3028720188600963E-2</v>
      </c>
      <c r="AU25" s="86">
        <v>-9.6095028196661377E-3</v>
      </c>
      <c r="AW25" s="86">
        <v>0.2286198002384856</v>
      </c>
      <c r="AX25" s="86">
        <v>0.15503088098333676</v>
      </c>
      <c r="AY25" s="86">
        <v>-5.0646526819925472E-2</v>
      </c>
    </row>
    <row r="26" spans="1:51">
      <c r="C26" s="64"/>
      <c r="D26" s="64"/>
      <c r="E26" s="64"/>
      <c r="F26" s="64"/>
      <c r="G26" s="64"/>
      <c r="H26" s="64"/>
      <c r="I26" s="64"/>
      <c r="J26" s="64"/>
      <c r="K26" s="64"/>
      <c r="M26" s="82" t="s">
        <v>16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3">
        <f>1/SQRT(K42)</f>
        <v>4.1231056256176606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I26" s="88">
        <v>7</v>
      </c>
      <c r="AJ26" s="83">
        <f t="shared" si="0"/>
        <v>0</v>
      </c>
      <c r="AK26" s="89">
        <v>0</v>
      </c>
      <c r="AL26" s="89">
        <v>2.1000000000000001E-2</v>
      </c>
      <c r="AM26" s="89">
        <v>100</v>
      </c>
      <c r="AR26" s="82" t="s">
        <v>416</v>
      </c>
      <c r="AS26" s="86">
        <v>0.24776343277774746</v>
      </c>
      <c r="AT26" s="86">
        <v>-2.4871595222459578E-2</v>
      </c>
      <c r="AU26" s="86">
        <v>1.4092274036292193E-3</v>
      </c>
      <c r="AW26" s="86">
        <v>0.24776343277774746</v>
      </c>
      <c r="AX26" s="86">
        <v>-7.2712773476055217E-2</v>
      </c>
      <c r="AY26" s="86">
        <v>7.4272805609896147E-3</v>
      </c>
    </row>
    <row r="27" spans="1:51">
      <c r="B27" s="12" t="s">
        <v>185</v>
      </c>
      <c r="C27" s="68">
        <v>139</v>
      </c>
      <c r="D27" s="68">
        <v>91</v>
      </c>
      <c r="E27" s="68">
        <v>43</v>
      </c>
      <c r="F27" s="68">
        <v>177</v>
      </c>
      <c r="G27" s="68">
        <v>116</v>
      </c>
      <c r="H27" s="68">
        <v>149</v>
      </c>
      <c r="I27" s="68">
        <v>50</v>
      </c>
      <c r="J27" s="69"/>
      <c r="K27" s="69">
        <v>765</v>
      </c>
      <c r="M27" s="82" t="s">
        <v>377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3">
        <f>1/SQRT(K43)</f>
        <v>5.5317266743757321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I27" s="92"/>
      <c r="AJ27" s="93"/>
      <c r="AK27" s="93"/>
      <c r="AL27" s="93"/>
      <c r="AM27" s="85"/>
      <c r="AR27" s="82" t="s">
        <v>417</v>
      </c>
      <c r="AS27" s="86">
        <v>0.29801496354834384</v>
      </c>
      <c r="AT27" s="86">
        <v>-1.6623416865800177E-2</v>
      </c>
      <c r="AU27" s="86">
        <v>1.4929966944787997E-2</v>
      </c>
      <c r="AW27" s="86">
        <v>0.29801496354834384</v>
      </c>
      <c r="AX27" s="86">
        <v>-4.8599003568112552E-2</v>
      </c>
      <c r="AY27" s="86">
        <v>7.8687834894259068E-2</v>
      </c>
    </row>
    <row r="28" spans="1:51">
      <c r="M28" s="82" t="s">
        <v>272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3">
        <f>1/SQRT(K44)</f>
        <v>4.2179020465651647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R28" s="82" t="s">
        <v>179</v>
      </c>
      <c r="AS28" s="86">
        <v>0.23699157253469402</v>
      </c>
      <c r="AT28" s="86">
        <v>-1.5811696246335841E-2</v>
      </c>
      <c r="AU28" s="86">
        <v>3.5518095176458684E-3</v>
      </c>
      <c r="AW28" s="86">
        <v>0.23699157253469402</v>
      </c>
      <c r="AX28" s="86">
        <v>-4.6225916638985669E-2</v>
      </c>
      <c r="AY28" s="86">
        <v>1.8719679818041596E-2</v>
      </c>
    </row>
    <row r="29" spans="1:51">
      <c r="M29" s="82" t="s">
        <v>221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3">
        <f>1/SQRT(K45)</f>
        <v>4.6097722286464435</v>
      </c>
      <c r="AA29" s="84">
        <v>0</v>
      </c>
      <c r="AB29" s="8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R29" s="82" t="s">
        <v>400</v>
      </c>
      <c r="AS29" s="86">
        <v>0.21382743052206366</v>
      </c>
      <c r="AT29" s="86">
        <v>-1.5631497587330179E-2</v>
      </c>
      <c r="AU29" s="86">
        <v>1.275961241950823E-3</v>
      </c>
      <c r="AW29" s="86">
        <v>0.21382743052206366</v>
      </c>
      <c r="AX29" s="86">
        <v>-4.569910104248804E-2</v>
      </c>
      <c r="AY29" s="86">
        <v>6.7249062177696479E-3</v>
      </c>
    </row>
    <row r="30" spans="1:51" ht="13.5" thickBot="1">
      <c r="B30" s="76" t="s">
        <v>150</v>
      </c>
      <c r="C30" s="77"/>
      <c r="D30" s="78"/>
      <c r="E30" s="77"/>
      <c r="F30" s="77"/>
      <c r="G30" s="77"/>
      <c r="H30" s="77"/>
      <c r="I30" s="77"/>
      <c r="J30" s="77"/>
      <c r="K30" s="77"/>
      <c r="M30" s="82" t="s">
        <v>181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3">
        <f>1/SQRT(K46)</f>
        <v>4.8894018039019871</v>
      </c>
      <c r="AB30" s="8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I30" s="77" t="s">
        <v>459</v>
      </c>
      <c r="AJ30" s="77"/>
      <c r="AK30" s="77"/>
      <c r="AL30" s="77"/>
      <c r="AR30" s="82" t="s">
        <v>14</v>
      </c>
      <c r="AS30" s="86">
        <v>0.20445552781033804</v>
      </c>
      <c r="AT30" s="86">
        <v>-5.2847606498325501E-3</v>
      </c>
      <c r="AU30" s="86">
        <v>3.130010980559878E-3</v>
      </c>
      <c r="AW30" s="86">
        <v>0.20445552781033804</v>
      </c>
      <c r="AX30" s="86">
        <v>-1.5450139026846216E-2</v>
      </c>
      <c r="AY30" s="86">
        <v>1.6496606333177045E-2</v>
      </c>
    </row>
    <row r="31" spans="1:51" ht="13.5" thickTop="1">
      <c r="C31" s="65" t="s">
        <v>467</v>
      </c>
      <c r="D31" s="65" t="s">
        <v>468</v>
      </c>
      <c r="E31" s="65" t="s">
        <v>469</v>
      </c>
      <c r="F31" s="65" t="s">
        <v>470</v>
      </c>
      <c r="G31" s="65" t="s">
        <v>247</v>
      </c>
      <c r="H31" s="65" t="s">
        <v>248</v>
      </c>
      <c r="I31" s="65" t="s">
        <v>249</v>
      </c>
      <c r="J31" s="64"/>
      <c r="K31" s="64"/>
      <c r="M31" s="82" t="s">
        <v>182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3">
        <f>1/SQRT(K47)</f>
        <v>3.6008473579027549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J31" s="187" t="s">
        <v>328</v>
      </c>
      <c r="AK31" s="187"/>
      <c r="AL31" s="187"/>
      <c r="AR31" s="82" t="s">
        <v>376</v>
      </c>
      <c r="AS31" s="86">
        <v>0.23144146800819382</v>
      </c>
      <c r="AT31" s="86">
        <v>2.6401862044906604E-2</v>
      </c>
      <c r="AU31" s="86">
        <v>2.4091559442009467E-3</v>
      </c>
      <c r="AW31" s="86">
        <v>0.23144146800819382</v>
      </c>
      <c r="AX31" s="86">
        <v>7.7186549437077395E-2</v>
      </c>
      <c r="AY31" s="86">
        <v>1.2697366703680855E-2</v>
      </c>
    </row>
    <row r="32" spans="1:51">
      <c r="B32" s="79" t="s">
        <v>444</v>
      </c>
      <c r="C32" s="66" t="s">
        <v>250</v>
      </c>
      <c r="D32" s="66" t="s">
        <v>251</v>
      </c>
      <c r="E32" s="66" t="s">
        <v>252</v>
      </c>
      <c r="F32" s="66" t="s">
        <v>252</v>
      </c>
      <c r="G32" s="66" t="s">
        <v>252</v>
      </c>
      <c r="H32" s="66" t="s">
        <v>253</v>
      </c>
      <c r="I32" s="66" t="s">
        <v>250</v>
      </c>
      <c r="J32" s="67"/>
      <c r="K32" s="66" t="s">
        <v>357</v>
      </c>
      <c r="M32" s="82" t="s">
        <v>156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3">
        <f>1/SQRT(K48)</f>
        <v>5.3229064742237711</v>
      </c>
      <c r="AD32" s="84">
        <v>0</v>
      </c>
      <c r="AE32" s="84">
        <v>0</v>
      </c>
      <c r="AF32" s="84">
        <v>0</v>
      </c>
      <c r="AG32" s="84">
        <v>0</v>
      </c>
      <c r="AI32" s="85" t="s">
        <v>138</v>
      </c>
      <c r="AJ32" s="90">
        <v>1</v>
      </c>
      <c r="AK32" s="90">
        <v>2</v>
      </c>
      <c r="AL32" s="90">
        <v>3</v>
      </c>
      <c r="AR32" s="82" t="s">
        <v>16</v>
      </c>
      <c r="AS32" s="86">
        <v>0.24244039753752145</v>
      </c>
      <c r="AT32" s="86">
        <v>-7.6618178637088835E-3</v>
      </c>
      <c r="AU32" s="86">
        <v>7.4929031983909204E-3</v>
      </c>
      <c r="AW32" s="86">
        <v>0.24244039753752145</v>
      </c>
      <c r="AX32" s="86">
        <v>-2.2399529332785755E-2</v>
      </c>
      <c r="AY32" s="86">
        <v>3.949106732345968E-2</v>
      </c>
    </row>
    <row r="33" spans="1:64">
      <c r="A33" s="75">
        <v>1</v>
      </c>
      <c r="B33" s="82" t="s">
        <v>413</v>
      </c>
      <c r="C33" s="70">
        <f>C6/$K27</f>
        <v>1.045751633986928E-2</v>
      </c>
      <c r="D33" s="70">
        <f t="shared" ref="D33:I33" si="1">D6/$K27</f>
        <v>6.5359477124183009E-3</v>
      </c>
      <c r="E33" s="70">
        <f t="shared" si="1"/>
        <v>3.9215686274509803E-3</v>
      </c>
      <c r="F33" s="70">
        <f t="shared" si="1"/>
        <v>1.3071895424836602E-2</v>
      </c>
      <c r="G33" s="70">
        <f t="shared" si="1"/>
        <v>5.2287581699346402E-3</v>
      </c>
      <c r="H33" s="70">
        <f t="shared" si="1"/>
        <v>6.5359477124183009E-3</v>
      </c>
      <c r="I33" s="70">
        <f t="shared" si="1"/>
        <v>1.30718954248366E-3</v>
      </c>
      <c r="J33" s="70"/>
      <c r="K33" s="70">
        <f>SUM(C33:I33)</f>
        <v>4.7058823529411764E-2</v>
      </c>
      <c r="M33" s="82" t="s">
        <v>157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3">
        <f>1/SQRT(K49)</f>
        <v>5.0497524691810396</v>
      </c>
      <c r="AE33" s="84">
        <v>0</v>
      </c>
      <c r="AF33" s="84">
        <v>0</v>
      </c>
      <c r="AG33" s="84">
        <v>0</v>
      </c>
      <c r="AI33" s="75" t="s">
        <v>370</v>
      </c>
      <c r="AJ33" s="70">
        <v>0.42599999999999999</v>
      </c>
      <c r="AK33" s="70">
        <v>0.16600000000000001</v>
      </c>
      <c r="AL33" s="70">
        <v>0.10199999999999999</v>
      </c>
      <c r="AR33" s="82" t="s">
        <v>222</v>
      </c>
      <c r="AS33" s="86">
        <v>0.18072891272823882</v>
      </c>
      <c r="AT33" s="86">
        <v>6.3233168740951425E-3</v>
      </c>
      <c r="AU33" s="86">
        <v>-4.2422787925249618E-3</v>
      </c>
      <c r="AW33" s="86">
        <v>0.18072891272823882</v>
      </c>
      <c r="AX33" s="86">
        <v>1.8486385910148669E-2</v>
      </c>
      <c r="AY33" s="86">
        <v>-2.235877242301296E-2</v>
      </c>
    </row>
    <row r="34" spans="1:64">
      <c r="A34" s="75">
        <v>2</v>
      </c>
      <c r="B34" s="82" t="s">
        <v>414</v>
      </c>
      <c r="C34" s="70">
        <f>C7/$K27</f>
        <v>7.8431372549019607E-3</v>
      </c>
      <c r="D34" s="70">
        <f t="shared" ref="D34:I34" si="2">D7/$K27</f>
        <v>7.8431372549019607E-3</v>
      </c>
      <c r="E34" s="70">
        <f t="shared" si="2"/>
        <v>6.5359477124183009E-3</v>
      </c>
      <c r="F34" s="70">
        <f t="shared" si="2"/>
        <v>1.3071895424836602E-2</v>
      </c>
      <c r="G34" s="70">
        <f t="shared" si="2"/>
        <v>2.6143790849673201E-3</v>
      </c>
      <c r="H34" s="70">
        <f t="shared" si="2"/>
        <v>3.9215686274509803E-3</v>
      </c>
      <c r="I34" s="70">
        <f t="shared" si="2"/>
        <v>1.30718954248366E-3</v>
      </c>
      <c r="J34" s="70"/>
      <c r="K34" s="70">
        <f t="shared" ref="K34:K52" si="3">SUM(C34:I34)</f>
        <v>4.3137254901960784E-2</v>
      </c>
      <c r="M34" s="82" t="s">
        <v>10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>
        <v>0</v>
      </c>
      <c r="AE34" s="83">
        <f>1/SQRT(K50)</f>
        <v>4.8147500643146763</v>
      </c>
      <c r="AF34" s="84">
        <v>0</v>
      </c>
      <c r="AG34" s="84">
        <v>0</v>
      </c>
      <c r="AI34" s="75" t="s">
        <v>371</v>
      </c>
      <c r="AJ34" s="70">
        <v>0.34499999999999997</v>
      </c>
      <c r="AK34" s="70">
        <v>0.31</v>
      </c>
      <c r="AL34" s="70">
        <v>0.127</v>
      </c>
      <c r="AR34" s="82" t="s">
        <v>272</v>
      </c>
      <c r="AS34" s="86">
        <v>0.23701241552791616</v>
      </c>
      <c r="AT34" s="86">
        <v>2.2102052054767833E-2</v>
      </c>
      <c r="AU34" s="86">
        <v>3.4939000765622451E-3</v>
      </c>
      <c r="AW34" s="86">
        <v>0.23701241552791616</v>
      </c>
      <c r="AX34" s="86">
        <v>6.4615939992585095E-2</v>
      </c>
      <c r="AY34" s="86">
        <v>1.8414470264955633E-2</v>
      </c>
    </row>
    <row r="35" spans="1:64">
      <c r="A35" s="75">
        <v>3</v>
      </c>
      <c r="B35" s="82" t="s">
        <v>415</v>
      </c>
      <c r="C35" s="70">
        <f>C8/$K27</f>
        <v>1.045751633986928E-2</v>
      </c>
      <c r="D35" s="70">
        <f t="shared" ref="D35:I35" si="4">D8/$K27</f>
        <v>9.1503267973856214E-3</v>
      </c>
      <c r="E35" s="70">
        <f t="shared" si="4"/>
        <v>9.1503267973856214E-3</v>
      </c>
      <c r="F35" s="70">
        <f t="shared" si="4"/>
        <v>1.699346405228758E-2</v>
      </c>
      <c r="G35" s="70">
        <f t="shared" si="4"/>
        <v>2.6143790849673201E-3</v>
      </c>
      <c r="H35" s="70">
        <f t="shared" si="4"/>
        <v>2.6143790849673201E-3</v>
      </c>
      <c r="I35" s="70">
        <f t="shared" si="4"/>
        <v>1.30718954248366E-3</v>
      </c>
      <c r="J35" s="70"/>
      <c r="K35" s="70">
        <f t="shared" si="3"/>
        <v>5.2287581699346407E-2</v>
      </c>
      <c r="M35" s="82" t="s">
        <v>158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v>0</v>
      </c>
      <c r="AC35" s="84">
        <v>0</v>
      </c>
      <c r="AD35" s="84">
        <v>0</v>
      </c>
      <c r="AE35" s="84">
        <v>0</v>
      </c>
      <c r="AF35" s="83">
        <f>1/SQRT(K51)</f>
        <v>6.7082039324993703</v>
      </c>
      <c r="AG35" s="84">
        <v>0</v>
      </c>
      <c r="AI35" s="75" t="s">
        <v>372</v>
      </c>
      <c r="AJ35" s="70">
        <v>0.23699999999999999</v>
      </c>
      <c r="AK35" s="70">
        <v>0.49099999999999999</v>
      </c>
      <c r="AL35" s="70">
        <v>-0.47899999999999998</v>
      </c>
      <c r="AR35" s="82" t="s">
        <v>221</v>
      </c>
      <c r="AS35" s="86">
        <v>0.21686718502928234</v>
      </c>
      <c r="AT35" s="86">
        <v>4.396816477445515E-3</v>
      </c>
      <c r="AU35" s="86">
        <v>1.6304299690219739E-3</v>
      </c>
      <c r="AW35" s="86">
        <v>0.21686718502928234</v>
      </c>
      <c r="AX35" s="86">
        <v>1.2854210503216241E-2</v>
      </c>
      <c r="AY35" s="86">
        <v>8.5931204458453529E-3</v>
      </c>
    </row>
    <row r="36" spans="1:64">
      <c r="A36" s="75">
        <v>4</v>
      </c>
      <c r="B36" s="82" t="s">
        <v>416</v>
      </c>
      <c r="C36" s="70">
        <f>C9/$K27</f>
        <v>1.3071895424836602E-2</v>
      </c>
      <c r="D36" s="70">
        <f t="shared" ref="D36:I36" si="5">D9/$K27</f>
        <v>1.30718954248366E-3</v>
      </c>
      <c r="E36" s="70">
        <f t="shared" si="5"/>
        <v>1.30718954248366E-3</v>
      </c>
      <c r="F36" s="70">
        <f t="shared" si="5"/>
        <v>1.3071895424836602E-2</v>
      </c>
      <c r="G36" s="70">
        <f t="shared" si="5"/>
        <v>1.3071895424836602E-2</v>
      </c>
      <c r="H36" s="70">
        <f t="shared" si="5"/>
        <v>1.4379084967320261E-2</v>
      </c>
      <c r="I36" s="70">
        <f t="shared" si="5"/>
        <v>5.2287581699346402E-3</v>
      </c>
      <c r="J36" s="70"/>
      <c r="K36" s="70">
        <f t="shared" si="3"/>
        <v>6.143790849673203E-2</v>
      </c>
      <c r="M36" s="82" t="s">
        <v>11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84">
        <v>0</v>
      </c>
      <c r="AE36" s="84">
        <v>0</v>
      </c>
      <c r="AF36" s="84">
        <v>0</v>
      </c>
      <c r="AG36" s="83">
        <f>1/SQRT(K52)</f>
        <v>4.2179020465651647</v>
      </c>
      <c r="AI36" s="75" t="s">
        <v>126</v>
      </c>
      <c r="AJ36" s="70">
        <v>0.48099999999999998</v>
      </c>
      <c r="AK36" s="70">
        <v>0.32800000000000001</v>
      </c>
      <c r="AL36" s="70">
        <v>6.2E-2</v>
      </c>
      <c r="AR36" s="82" t="s">
        <v>181</v>
      </c>
      <c r="AS36" s="86">
        <v>0.20448695970134392</v>
      </c>
      <c r="AT36" s="86">
        <v>-5.7826299937727199E-2</v>
      </c>
      <c r="AU36" s="86">
        <v>-1.6489157544246562E-2</v>
      </c>
      <c r="AW36" s="86">
        <v>0.20448695970134392</v>
      </c>
      <c r="AX36" s="86">
        <v>-0.16905673362412399</v>
      </c>
      <c r="AY36" s="86">
        <v>-8.6905490895279672E-2</v>
      </c>
    </row>
    <row r="37" spans="1:64">
      <c r="A37" s="75">
        <v>5</v>
      </c>
      <c r="B37" s="82" t="s">
        <v>417</v>
      </c>
      <c r="C37" s="70">
        <f>C10/$K27</f>
        <v>1.3071895424836602E-2</v>
      </c>
      <c r="D37" s="70">
        <f t="shared" ref="D37:I37" si="6">D10/$K27</f>
        <v>1.1764705882352941E-2</v>
      </c>
      <c r="E37" s="70">
        <f t="shared" si="6"/>
        <v>1.30718954248366E-3</v>
      </c>
      <c r="F37" s="70">
        <f t="shared" si="6"/>
        <v>1.8300653594771243E-2</v>
      </c>
      <c r="G37" s="70">
        <f t="shared" si="6"/>
        <v>1.699346405228758E-2</v>
      </c>
      <c r="H37" s="70">
        <f t="shared" si="6"/>
        <v>2.4836601307189541E-2</v>
      </c>
      <c r="I37" s="70">
        <f t="shared" si="6"/>
        <v>2.6143790849673201E-3</v>
      </c>
      <c r="J37" s="70"/>
      <c r="K37" s="70">
        <f t="shared" si="3"/>
        <v>8.8888888888888892E-2</v>
      </c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I37" s="75" t="s">
        <v>339</v>
      </c>
      <c r="AJ37" s="70">
        <v>0.38900000000000001</v>
      </c>
      <c r="AK37" s="70">
        <v>-0.38100000000000001</v>
      </c>
      <c r="AL37" s="70">
        <v>0.13900000000000001</v>
      </c>
      <c r="AR37" s="82" t="s">
        <v>182</v>
      </c>
      <c r="AS37" s="86">
        <v>0.27761441291988048</v>
      </c>
      <c r="AT37" s="86">
        <v>1.1796068245990389E-3</v>
      </c>
      <c r="AU37" s="86">
        <v>9.0147955436487397E-3</v>
      </c>
      <c r="AW37" s="86">
        <v>0.27761441291988048</v>
      </c>
      <c r="AX37" s="86">
        <v>3.4486120838129576E-3</v>
      </c>
      <c r="AY37" s="86">
        <v>4.7512144264443119E-2</v>
      </c>
    </row>
    <row r="38" spans="1:64">
      <c r="A38" s="75">
        <v>6</v>
      </c>
      <c r="B38" s="82" t="s">
        <v>179</v>
      </c>
      <c r="C38" s="70">
        <f t="shared" ref="C38:I38" si="7">C11/$K27</f>
        <v>1.1764705882352941E-2</v>
      </c>
      <c r="D38" s="70">
        <f t="shared" si="7"/>
        <v>3.9215686274509803E-3</v>
      </c>
      <c r="E38" s="70">
        <f t="shared" si="7"/>
        <v>1.30718954248366E-3</v>
      </c>
      <c r="F38" s="70">
        <f t="shared" si="7"/>
        <v>1.1764705882352941E-2</v>
      </c>
      <c r="G38" s="70">
        <f t="shared" si="7"/>
        <v>1.045751633986928E-2</v>
      </c>
      <c r="H38" s="70">
        <f t="shared" si="7"/>
        <v>1.3071895424836602E-2</v>
      </c>
      <c r="I38" s="70">
        <f t="shared" si="7"/>
        <v>3.9215686274509803E-3</v>
      </c>
      <c r="J38" s="70"/>
      <c r="K38" s="70">
        <f t="shared" si="3"/>
        <v>5.6209150326797387E-2</v>
      </c>
      <c r="AI38" s="75" t="s">
        <v>340</v>
      </c>
      <c r="AJ38" s="70">
        <v>0.441</v>
      </c>
      <c r="AK38" s="70">
        <v>-0.42899999999999999</v>
      </c>
      <c r="AL38" s="70">
        <v>0.32400000000000001</v>
      </c>
      <c r="AR38" s="82" t="s">
        <v>156</v>
      </c>
      <c r="AS38" s="86">
        <v>0.18780647663855721</v>
      </c>
      <c r="AT38" s="86">
        <v>-1.3328135430242525E-2</v>
      </c>
      <c r="AU38" s="86">
        <v>-4.2080257668878195E-3</v>
      </c>
      <c r="AW38" s="86">
        <v>0.18780647663855721</v>
      </c>
      <c r="AX38" s="86">
        <v>-3.896516020501449E-2</v>
      </c>
      <c r="AY38" s="86">
        <v>-2.2178243126737111E-2</v>
      </c>
    </row>
    <row r="39" spans="1:64" ht="13.5" thickBot="1">
      <c r="A39" s="75">
        <v>7</v>
      </c>
      <c r="B39" s="82" t="s">
        <v>400</v>
      </c>
      <c r="C39" s="70">
        <f>C12/$K27</f>
        <v>6.5359477124183009E-3</v>
      </c>
      <c r="D39" s="70">
        <f t="shared" ref="D39:I39" si="8">D12/$K27</f>
        <v>5.2287581699346402E-3</v>
      </c>
      <c r="E39" s="70">
        <f t="shared" si="8"/>
        <v>1.30718954248366E-3</v>
      </c>
      <c r="F39" s="70">
        <f t="shared" si="8"/>
        <v>9.1503267973856214E-3</v>
      </c>
      <c r="G39" s="70">
        <f t="shared" si="8"/>
        <v>7.8431372549019607E-3</v>
      </c>
      <c r="H39" s="70">
        <f t="shared" si="8"/>
        <v>1.1764705882352941E-2</v>
      </c>
      <c r="I39" s="70">
        <f t="shared" si="8"/>
        <v>3.9215686274509803E-3</v>
      </c>
      <c r="J39" s="70"/>
      <c r="K39" s="70">
        <f t="shared" si="3"/>
        <v>4.5751633986928109E-2</v>
      </c>
      <c r="M39" s="76" t="s">
        <v>139</v>
      </c>
      <c r="N39" s="77"/>
      <c r="O39" s="77"/>
      <c r="P39" s="77"/>
      <c r="Q39" s="77"/>
      <c r="R39" s="77"/>
      <c r="S39" s="77"/>
      <c r="T39" s="77"/>
      <c r="AI39" s="75" t="s">
        <v>341</v>
      </c>
      <c r="AJ39" s="70">
        <v>0.25600000000000001</v>
      </c>
      <c r="AK39" s="70">
        <v>-0.44700000000000001</v>
      </c>
      <c r="AL39" s="70">
        <v>-0.78400000000000003</v>
      </c>
      <c r="AR39" s="82" t="s">
        <v>157</v>
      </c>
      <c r="AS39" s="86">
        <v>0.1979649436725989</v>
      </c>
      <c r="AT39" s="86">
        <v>4.176838276867989E-3</v>
      </c>
      <c r="AU39" s="86">
        <v>-2.0450211094026581E-3</v>
      </c>
      <c r="AW39" s="86">
        <v>0.1979649436725989</v>
      </c>
      <c r="AX39" s="86">
        <v>1.2211098353585411E-2</v>
      </c>
      <c r="AY39" s="86">
        <v>-1.077820761472797E-2</v>
      </c>
    </row>
    <row r="40" spans="1:64" ht="13.5" thickTop="1">
      <c r="A40" s="75">
        <v>8</v>
      </c>
      <c r="B40" s="82" t="s">
        <v>14</v>
      </c>
      <c r="C40" s="70">
        <f>C13/$K27</f>
        <v>7.8431372549019607E-3</v>
      </c>
      <c r="D40" s="70">
        <f t="shared" ref="D40:I40" si="9">D13/$K27</f>
        <v>5.2287581699346402E-3</v>
      </c>
      <c r="E40" s="70">
        <f t="shared" si="9"/>
        <v>1.30718954248366E-3</v>
      </c>
      <c r="F40" s="70">
        <f t="shared" si="9"/>
        <v>9.1503267973856214E-3</v>
      </c>
      <c r="G40" s="70">
        <f t="shared" si="9"/>
        <v>6.5359477124183009E-3</v>
      </c>
      <c r="H40" s="70">
        <f t="shared" si="9"/>
        <v>9.1503267973856214E-3</v>
      </c>
      <c r="I40" s="70">
        <f t="shared" si="9"/>
        <v>2.6143790849673201E-3</v>
      </c>
      <c r="J40" s="70"/>
      <c r="K40" s="70">
        <f t="shared" si="3"/>
        <v>4.1830065359477121E-2</v>
      </c>
      <c r="N40" s="65" t="s">
        <v>467</v>
      </c>
      <c r="O40" s="65" t="s">
        <v>468</v>
      </c>
      <c r="P40" s="65" t="s">
        <v>469</v>
      </c>
      <c r="Q40" s="65" t="s">
        <v>470</v>
      </c>
      <c r="R40" s="65" t="s">
        <v>247</v>
      </c>
      <c r="S40" s="65" t="s">
        <v>248</v>
      </c>
      <c r="T40" s="65" t="s">
        <v>249</v>
      </c>
      <c r="AI40" s="85"/>
      <c r="AJ40" s="85"/>
      <c r="AK40" s="85"/>
      <c r="AL40" s="85"/>
      <c r="AR40" s="82" t="s">
        <v>10</v>
      </c>
      <c r="AS40" s="86">
        <v>0.20764173198395663</v>
      </c>
      <c r="AT40" s="86">
        <v>3.1696039665764821E-2</v>
      </c>
      <c r="AU40" s="86">
        <v>-3.6657453779490867E-3</v>
      </c>
      <c r="AW40" s="86">
        <v>0.20764173198395663</v>
      </c>
      <c r="AX40" s="86">
        <v>9.2664219230442407E-2</v>
      </c>
      <c r="AY40" s="86">
        <v>-1.9320174527589818E-2</v>
      </c>
    </row>
    <row r="41" spans="1:64">
      <c r="A41" s="75">
        <v>9</v>
      </c>
      <c r="B41" s="82" t="s">
        <v>376</v>
      </c>
      <c r="C41" s="70">
        <f>C14/$K27</f>
        <v>1.1764705882352941E-2</v>
      </c>
      <c r="D41" s="70">
        <f t="shared" ref="D41:I41" si="10">D14/$K27</f>
        <v>9.1503267973856214E-3</v>
      </c>
      <c r="E41" s="70">
        <f t="shared" si="10"/>
        <v>3.9215686274509803E-3</v>
      </c>
      <c r="F41" s="70">
        <f t="shared" si="10"/>
        <v>1.5686274509803921E-2</v>
      </c>
      <c r="G41" s="70">
        <f t="shared" si="10"/>
        <v>5.2287581699346402E-3</v>
      </c>
      <c r="H41" s="70">
        <f t="shared" si="10"/>
        <v>6.5359477124183009E-3</v>
      </c>
      <c r="I41" s="70">
        <f t="shared" si="10"/>
        <v>1.30718954248366E-3</v>
      </c>
      <c r="J41" s="70"/>
      <c r="K41" s="70">
        <f t="shared" si="3"/>
        <v>5.3594771241830069E-2</v>
      </c>
      <c r="M41" s="85" t="s">
        <v>138</v>
      </c>
      <c r="N41" s="66" t="s">
        <v>250</v>
      </c>
      <c r="O41" s="66" t="s">
        <v>251</v>
      </c>
      <c r="P41" s="66" t="s">
        <v>252</v>
      </c>
      <c r="Q41" s="66" t="s">
        <v>252</v>
      </c>
      <c r="R41" s="66" t="s">
        <v>252</v>
      </c>
      <c r="S41" s="66" t="s">
        <v>253</v>
      </c>
      <c r="T41" s="66" t="s">
        <v>250</v>
      </c>
      <c r="AR41" s="82" t="s">
        <v>158</v>
      </c>
      <c r="AS41" s="86">
        <v>0.14907486279995277</v>
      </c>
      <c r="AT41" s="86">
        <v>-6.3905964187009959E-3</v>
      </c>
      <c r="AU41" s="86">
        <v>-2.0836123338440437E-2</v>
      </c>
      <c r="AW41" s="86">
        <v>0.14907486279995277</v>
      </c>
      <c r="AX41" s="86">
        <v>-1.8683079457254965E-2</v>
      </c>
      <c r="AY41" s="86">
        <v>-0.10981601226277199</v>
      </c>
    </row>
    <row r="42" spans="1:64">
      <c r="A42" s="75">
        <v>10</v>
      </c>
      <c r="B42" s="82" t="s">
        <v>16</v>
      </c>
      <c r="C42" s="70">
        <f>C15/$K27</f>
        <v>1.1764705882352941E-2</v>
      </c>
      <c r="D42" s="70">
        <f t="shared" ref="D42:I42" si="11">D15/$K27</f>
        <v>6.5359477124183009E-3</v>
      </c>
      <c r="E42" s="70">
        <f t="shared" si="11"/>
        <v>1.30718954248366E-3</v>
      </c>
      <c r="F42" s="70">
        <f t="shared" si="11"/>
        <v>1.3071895424836602E-2</v>
      </c>
      <c r="G42" s="70">
        <f t="shared" si="11"/>
        <v>1.045751633986928E-2</v>
      </c>
      <c r="H42" s="70">
        <f t="shared" si="11"/>
        <v>1.3071895424836602E-2</v>
      </c>
      <c r="I42" s="70">
        <f t="shared" si="11"/>
        <v>2.6143790849673201E-3</v>
      </c>
      <c r="J42" s="70"/>
      <c r="K42" s="70">
        <f t="shared" si="3"/>
        <v>5.8823529411764705E-2</v>
      </c>
      <c r="M42" s="82" t="s">
        <v>413</v>
      </c>
      <c r="N42" s="86">
        <f t="array" ref="N42:T61">MMULT(C33:I52,N6:T12)</f>
        <v>2.4533068377625603E-2</v>
      </c>
      <c r="O42" s="86">
        <v>1.8950409129536747E-2</v>
      </c>
      <c r="P42" s="86">
        <v>1.6540792339471238E-2</v>
      </c>
      <c r="Q42" s="86">
        <v>2.7175819495371355E-2</v>
      </c>
      <c r="R42" s="86">
        <v>1.3427658241846014E-2</v>
      </c>
      <c r="S42" s="86">
        <v>1.4809696298154368E-2</v>
      </c>
      <c r="T42" s="86">
        <v>5.1130999256491358E-3</v>
      </c>
      <c r="AR42" s="82" t="s">
        <v>11</v>
      </c>
      <c r="AS42" s="86">
        <v>0.23699776714576234</v>
      </c>
      <c r="AT42" s="86">
        <v>-4.0551324527338943E-2</v>
      </c>
      <c r="AU42" s="86">
        <v>-4.5128285867843815E-4</v>
      </c>
      <c r="AW42" s="86">
        <v>0.23699776714576234</v>
      </c>
      <c r="AX42" s="86">
        <v>-0.11855288123408148</v>
      </c>
      <c r="AY42" s="86">
        <v>-2.3784695040262485E-3</v>
      </c>
    </row>
    <row r="43" spans="1:64" ht="13.5" thickBot="1">
      <c r="A43" s="75">
        <v>11</v>
      </c>
      <c r="B43" s="82" t="s">
        <v>377</v>
      </c>
      <c r="C43" s="70">
        <f>C16/$K27</f>
        <v>6.5359477124183009E-3</v>
      </c>
      <c r="D43" s="70">
        <f t="shared" ref="D43:I43" si="12">D16/$K27</f>
        <v>3.9215686274509803E-3</v>
      </c>
      <c r="E43" s="70">
        <f t="shared" si="12"/>
        <v>2.6143790849673201E-3</v>
      </c>
      <c r="F43" s="70">
        <f t="shared" si="12"/>
        <v>7.8431372549019607E-3</v>
      </c>
      <c r="G43" s="70">
        <f t="shared" si="12"/>
        <v>3.9215686274509803E-3</v>
      </c>
      <c r="H43" s="70">
        <f t="shared" si="12"/>
        <v>5.2287581699346402E-3</v>
      </c>
      <c r="I43" s="70">
        <f t="shared" si="12"/>
        <v>2.6143790849673201E-3</v>
      </c>
      <c r="J43" s="70"/>
      <c r="K43" s="70">
        <f t="shared" si="3"/>
        <v>3.2679738562091505E-2</v>
      </c>
      <c r="M43" s="82" t="s">
        <v>414</v>
      </c>
      <c r="N43" s="86">
        <v>1.8399801283219202E-2</v>
      </c>
      <c r="O43" s="86">
        <v>2.2740490955444097E-2</v>
      </c>
      <c r="P43" s="86">
        <v>2.7567987232452063E-2</v>
      </c>
      <c r="Q43" s="86">
        <v>2.7175819495371355E-2</v>
      </c>
      <c r="R43" s="86">
        <v>6.713829120923007E-3</v>
      </c>
      <c r="S43" s="86">
        <v>8.8858177788926195E-3</v>
      </c>
      <c r="T43" s="86">
        <v>5.1130999256491358E-3</v>
      </c>
      <c r="AI43" s="77" t="s">
        <v>33</v>
      </c>
      <c r="AJ43" s="77"/>
      <c r="AK43" s="77"/>
      <c r="AL43" s="77"/>
      <c r="AM43" s="77"/>
      <c r="AN43" s="77"/>
      <c r="AO43" s="77"/>
      <c r="AP43" s="77"/>
    </row>
    <row r="44" spans="1:64" ht="13.5" thickTop="1">
      <c r="A44" s="75">
        <v>12</v>
      </c>
      <c r="B44" s="82" t="s">
        <v>272</v>
      </c>
      <c r="C44" s="70">
        <f>C17/$K27</f>
        <v>1.1764705882352941E-2</v>
      </c>
      <c r="D44" s="70">
        <f t="shared" ref="D44:I44" si="13">D17/$K27</f>
        <v>9.1503267973856214E-3</v>
      </c>
      <c r="E44" s="70">
        <f t="shared" si="13"/>
        <v>3.9215686274509803E-3</v>
      </c>
      <c r="F44" s="70">
        <f t="shared" si="13"/>
        <v>1.5686274509803921E-2</v>
      </c>
      <c r="G44" s="70">
        <f t="shared" si="13"/>
        <v>6.5359477124183009E-3</v>
      </c>
      <c r="H44" s="70">
        <f t="shared" si="13"/>
        <v>7.8431372549019607E-3</v>
      </c>
      <c r="I44" s="70">
        <f t="shared" si="13"/>
        <v>1.30718954248366E-3</v>
      </c>
      <c r="J44" s="70"/>
      <c r="K44" s="70">
        <f t="shared" si="3"/>
        <v>5.6209150326797387E-2</v>
      </c>
      <c r="M44" s="82" t="s">
        <v>415</v>
      </c>
      <c r="N44" s="86">
        <v>2.4533068377625603E-2</v>
      </c>
      <c r="O44" s="86">
        <v>2.6530572781351448E-2</v>
      </c>
      <c r="P44" s="86">
        <v>3.8595182125432892E-2</v>
      </c>
      <c r="Q44" s="86">
        <v>3.5328565343982758E-2</v>
      </c>
      <c r="R44" s="86">
        <v>6.713829120923007E-3</v>
      </c>
      <c r="S44" s="86">
        <v>5.9238785192617461E-3</v>
      </c>
      <c r="T44" s="86">
        <v>5.1130999256491358E-3</v>
      </c>
      <c r="AI44" s="91"/>
      <c r="AJ44" s="94">
        <v>1</v>
      </c>
      <c r="AK44" s="94">
        <v>2</v>
      </c>
      <c r="AL44" s="94">
        <v>3</v>
      </c>
      <c r="AM44" s="94">
        <v>4</v>
      </c>
      <c r="AN44" s="94">
        <v>5</v>
      </c>
      <c r="AO44" s="94">
        <v>6</v>
      </c>
      <c r="AP44" s="94">
        <v>7</v>
      </c>
    </row>
    <row r="45" spans="1:64">
      <c r="A45" s="75">
        <v>13</v>
      </c>
      <c r="B45" s="82" t="s">
        <v>221</v>
      </c>
      <c r="C45" s="70">
        <f>C18/$K27</f>
        <v>7.8431372549019607E-3</v>
      </c>
      <c r="D45" s="70">
        <f t="shared" ref="D45:I45" si="14">D18/$K27</f>
        <v>7.8431372549019607E-3</v>
      </c>
      <c r="E45" s="70">
        <f t="shared" si="14"/>
        <v>2.6143790849673201E-3</v>
      </c>
      <c r="F45" s="70">
        <f t="shared" si="14"/>
        <v>1.045751633986928E-2</v>
      </c>
      <c r="G45" s="70">
        <f t="shared" si="14"/>
        <v>6.5359477124183009E-3</v>
      </c>
      <c r="H45" s="70">
        <f t="shared" si="14"/>
        <v>9.1503267973856214E-3</v>
      </c>
      <c r="I45" s="70">
        <f t="shared" si="14"/>
        <v>2.6143790849673201E-3</v>
      </c>
      <c r="J45" s="70"/>
      <c r="K45" s="70">
        <f t="shared" si="3"/>
        <v>4.7058823529411764E-2</v>
      </c>
      <c r="M45" s="82" t="s">
        <v>416</v>
      </c>
      <c r="N45" s="86">
        <v>3.0666335472032007E-2</v>
      </c>
      <c r="O45" s="86">
        <v>3.7900818259073493E-3</v>
      </c>
      <c r="P45" s="86">
        <v>5.5135974464904118E-3</v>
      </c>
      <c r="Q45" s="86">
        <v>2.7175819495371355E-2</v>
      </c>
      <c r="R45" s="86">
        <v>3.3569145604615033E-2</v>
      </c>
      <c r="S45" s="86">
        <v>3.2581331855939609E-2</v>
      </c>
      <c r="T45" s="86">
        <v>2.0452399702596543E-2</v>
      </c>
      <c r="AI45" s="81">
        <v>1</v>
      </c>
      <c r="AJ45" s="86">
        <v>1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</row>
    <row r="46" spans="1:64">
      <c r="A46" s="75">
        <v>14</v>
      </c>
      <c r="B46" s="82" t="s">
        <v>181</v>
      </c>
      <c r="C46" s="70">
        <f>C19/$K27</f>
        <v>3.9215686274509803E-3</v>
      </c>
      <c r="D46" s="70">
        <f t="shared" ref="D46:I46" si="15">D19/$K27</f>
        <v>1.30718954248366E-3</v>
      </c>
      <c r="E46" s="70">
        <f t="shared" si="15"/>
        <v>0</v>
      </c>
      <c r="F46" s="70">
        <f t="shared" si="15"/>
        <v>3.9215686274509803E-3</v>
      </c>
      <c r="G46" s="70">
        <f t="shared" si="15"/>
        <v>1.045751633986928E-2</v>
      </c>
      <c r="H46" s="70">
        <f t="shared" si="15"/>
        <v>1.1764705882352941E-2</v>
      </c>
      <c r="I46" s="70">
        <f t="shared" si="15"/>
        <v>1.045751633986928E-2</v>
      </c>
      <c r="J46" s="70"/>
      <c r="K46" s="70">
        <f>SUM(C46:I46)</f>
        <v>4.1830065359477121E-2</v>
      </c>
      <c r="M46" s="82" t="s">
        <v>417</v>
      </c>
      <c r="N46" s="86">
        <v>3.0666335472032007E-2</v>
      </c>
      <c r="O46" s="86">
        <v>3.4110736433166144E-2</v>
      </c>
      <c r="P46" s="86">
        <v>5.5135974464904118E-3</v>
      </c>
      <c r="Q46" s="86">
        <v>3.8046147293519898E-2</v>
      </c>
      <c r="R46" s="86">
        <v>4.3639889285999545E-2</v>
      </c>
      <c r="S46" s="86">
        <v>5.627684593298659E-2</v>
      </c>
      <c r="T46" s="86">
        <v>1.0226199851298272E-2</v>
      </c>
      <c r="AI46" s="81">
        <v>2</v>
      </c>
      <c r="AJ46" s="87">
        <v>0</v>
      </c>
      <c r="AK46" s="86">
        <v>0.34205262752974142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</row>
    <row r="47" spans="1:64" ht="13.5" thickBot="1">
      <c r="A47" s="75">
        <v>15</v>
      </c>
      <c r="B47" s="82" t="s">
        <v>182</v>
      </c>
      <c r="C47" s="70">
        <f>C20/$K27</f>
        <v>1.3071895424836602E-2</v>
      </c>
      <c r="D47" s="70">
        <f t="shared" ref="D47:I47" si="16">D20/$K27</f>
        <v>1.1764705882352941E-2</v>
      </c>
      <c r="E47" s="70">
        <f t="shared" si="16"/>
        <v>2.6143790849673201E-3</v>
      </c>
      <c r="F47" s="70">
        <f t="shared" si="16"/>
        <v>1.8300653594771243E-2</v>
      </c>
      <c r="G47" s="70">
        <f t="shared" si="16"/>
        <v>1.1764705882352941E-2</v>
      </c>
      <c r="H47" s="70">
        <f t="shared" si="16"/>
        <v>1.699346405228758E-2</v>
      </c>
      <c r="I47" s="70">
        <f t="shared" si="16"/>
        <v>2.6143790849673201E-3</v>
      </c>
      <c r="J47" s="70"/>
      <c r="K47" s="70">
        <f t="shared" si="3"/>
        <v>7.7124183006535951E-2</v>
      </c>
      <c r="M47" s="82" t="s">
        <v>179</v>
      </c>
      <c r="N47" s="86">
        <v>2.7599701924828805E-2</v>
      </c>
      <c r="O47" s="86">
        <v>1.1370245477722049E-2</v>
      </c>
      <c r="P47" s="86">
        <v>5.5135974464904118E-3</v>
      </c>
      <c r="Q47" s="86">
        <v>2.4458237545834219E-2</v>
      </c>
      <c r="R47" s="86">
        <v>2.6855316483692028E-2</v>
      </c>
      <c r="S47" s="86">
        <v>2.9619392596308736E-2</v>
      </c>
      <c r="T47" s="86">
        <v>1.5339299776947408E-2</v>
      </c>
      <c r="AI47" s="81">
        <v>3</v>
      </c>
      <c r="AJ47" s="87">
        <v>0</v>
      </c>
      <c r="AK47" s="87">
        <v>0</v>
      </c>
      <c r="AL47" s="86">
        <v>0.18973665961010275</v>
      </c>
      <c r="AM47" s="87">
        <v>0</v>
      </c>
      <c r="AN47" s="87">
        <v>0</v>
      </c>
      <c r="AO47" s="87">
        <v>0</v>
      </c>
      <c r="AP47" s="87">
        <v>0</v>
      </c>
      <c r="AR47" s="76" t="s">
        <v>210</v>
      </c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</row>
    <row r="48" spans="1:64" ht="13.5" thickTop="1">
      <c r="A48" s="75">
        <v>16</v>
      </c>
      <c r="B48" s="82" t="s">
        <v>156</v>
      </c>
      <c r="C48" s="70">
        <f>C21/$K27</f>
        <v>7.8431372549019607E-3</v>
      </c>
      <c r="D48" s="70">
        <f t="shared" ref="D48:I48" si="17">D21/$K27</f>
        <v>1.30718954248366E-3</v>
      </c>
      <c r="E48" s="70">
        <f t="shared" si="17"/>
        <v>1.30718954248366E-3</v>
      </c>
      <c r="F48" s="70">
        <f t="shared" si="17"/>
        <v>7.8431372549019607E-3</v>
      </c>
      <c r="G48" s="70">
        <f t="shared" si="17"/>
        <v>6.5359477124183009E-3</v>
      </c>
      <c r="H48" s="70">
        <f t="shared" si="17"/>
        <v>6.5359477124183009E-3</v>
      </c>
      <c r="I48" s="70">
        <f t="shared" si="17"/>
        <v>3.9215686274509803E-3</v>
      </c>
      <c r="J48" s="70"/>
      <c r="K48" s="70">
        <f t="shared" si="3"/>
        <v>3.5294117647058823E-2</v>
      </c>
      <c r="M48" s="82" t="s">
        <v>400</v>
      </c>
      <c r="N48" s="86">
        <v>1.5333167736016003E-2</v>
      </c>
      <c r="O48" s="86">
        <v>1.5160327303629397E-2</v>
      </c>
      <c r="P48" s="86">
        <v>5.5135974464904118E-3</v>
      </c>
      <c r="Q48" s="86">
        <v>1.9023073646759949E-2</v>
      </c>
      <c r="R48" s="86">
        <v>2.0141487362769019E-2</v>
      </c>
      <c r="S48" s="86">
        <v>2.665745333667786E-2</v>
      </c>
      <c r="T48" s="86">
        <v>1.5339299776947408E-2</v>
      </c>
      <c r="AI48" s="81">
        <v>4</v>
      </c>
      <c r="AJ48" s="87">
        <v>0</v>
      </c>
      <c r="AK48" s="87">
        <v>0</v>
      </c>
      <c r="AL48" s="87">
        <v>0</v>
      </c>
      <c r="AM48" s="86">
        <v>0.11832159566199232</v>
      </c>
      <c r="AN48" s="87">
        <v>0</v>
      </c>
      <c r="AO48" s="87">
        <v>0</v>
      </c>
      <c r="AP48" s="87">
        <v>0</v>
      </c>
      <c r="AS48" s="82" t="s">
        <v>413</v>
      </c>
      <c r="AT48" s="82" t="s">
        <v>414</v>
      </c>
      <c r="AU48" s="82" t="s">
        <v>415</v>
      </c>
      <c r="AV48" s="82" t="s">
        <v>416</v>
      </c>
      <c r="AW48" s="82" t="s">
        <v>417</v>
      </c>
      <c r="AX48" s="82" t="s">
        <v>179</v>
      </c>
      <c r="AY48" s="82" t="s">
        <v>400</v>
      </c>
      <c r="AZ48" s="82" t="s">
        <v>14</v>
      </c>
      <c r="BA48" s="82" t="s">
        <v>376</v>
      </c>
      <c r="BB48" s="82" t="s">
        <v>16</v>
      </c>
      <c r="BC48" s="82" t="s">
        <v>377</v>
      </c>
      <c r="BD48" s="82" t="s">
        <v>272</v>
      </c>
      <c r="BE48" s="82" t="s">
        <v>221</v>
      </c>
      <c r="BF48" s="82" t="s">
        <v>181</v>
      </c>
      <c r="BG48" s="82" t="s">
        <v>182</v>
      </c>
      <c r="BH48" s="82" t="s">
        <v>156</v>
      </c>
      <c r="BI48" s="82" t="s">
        <v>157</v>
      </c>
      <c r="BJ48" s="82" t="s">
        <v>10</v>
      </c>
      <c r="BK48" s="82" t="s">
        <v>158</v>
      </c>
      <c r="BL48" s="82" t="s">
        <v>11</v>
      </c>
    </row>
    <row r="49" spans="1:64">
      <c r="A49" s="75">
        <v>17</v>
      </c>
      <c r="B49" s="82" t="s">
        <v>157</v>
      </c>
      <c r="C49" s="70">
        <f>C22/$K27</f>
        <v>9.1503267973856214E-3</v>
      </c>
      <c r="D49" s="70">
        <f t="shared" ref="D49:I49" si="18">D22/$K27</f>
        <v>2.6143790849673201E-3</v>
      </c>
      <c r="E49" s="70">
        <f t="shared" si="18"/>
        <v>2.6143790849673201E-3</v>
      </c>
      <c r="F49" s="70">
        <f t="shared" si="18"/>
        <v>1.045751633986928E-2</v>
      </c>
      <c r="G49" s="70">
        <f t="shared" si="18"/>
        <v>5.2287581699346402E-3</v>
      </c>
      <c r="H49" s="70">
        <f t="shared" si="18"/>
        <v>6.5359477124183009E-3</v>
      </c>
      <c r="I49" s="70">
        <f t="shared" si="18"/>
        <v>2.6143790849673201E-3</v>
      </c>
      <c r="J49" s="70"/>
      <c r="K49" s="70">
        <f t="shared" si="3"/>
        <v>3.9215686274509796E-2</v>
      </c>
      <c r="M49" s="82" t="s">
        <v>14</v>
      </c>
      <c r="N49" s="86">
        <v>1.8399801283219202E-2</v>
      </c>
      <c r="O49" s="86">
        <v>1.5160327303629397E-2</v>
      </c>
      <c r="P49" s="86">
        <v>5.5135974464904118E-3</v>
      </c>
      <c r="Q49" s="86">
        <v>1.9023073646759949E-2</v>
      </c>
      <c r="R49" s="86">
        <v>1.6784572802307517E-2</v>
      </c>
      <c r="S49" s="86">
        <v>2.0733574817416115E-2</v>
      </c>
      <c r="T49" s="86">
        <v>1.0226199851298272E-2</v>
      </c>
      <c r="AI49" s="81">
        <v>5</v>
      </c>
      <c r="AJ49" s="87">
        <v>0</v>
      </c>
      <c r="AK49" s="87">
        <v>0</v>
      </c>
      <c r="AL49" s="87">
        <v>0</v>
      </c>
      <c r="AM49" s="87">
        <v>0</v>
      </c>
      <c r="AN49" s="86">
        <v>5.4772255750516613E-2</v>
      </c>
      <c r="AO49" s="87">
        <v>0</v>
      </c>
      <c r="AP49" s="87">
        <v>0</v>
      </c>
      <c r="AR49" s="82" t="s">
        <v>413</v>
      </c>
      <c r="AS49" s="86">
        <f>SQRT(K33)</f>
        <v>0.21693045781865616</v>
      </c>
      <c r="AT49" s="87"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v>0</v>
      </c>
      <c r="BA49" s="87">
        <v>0</v>
      </c>
      <c r="BB49" s="87">
        <v>0</v>
      </c>
      <c r="BC49" s="87">
        <v>0</v>
      </c>
      <c r="BD49" s="87">
        <v>0</v>
      </c>
      <c r="BE49" s="87">
        <v>0</v>
      </c>
      <c r="BF49" s="87">
        <v>0</v>
      </c>
      <c r="BG49" s="87">
        <v>0</v>
      </c>
      <c r="BH49" s="87">
        <v>0</v>
      </c>
      <c r="BI49" s="87">
        <v>0</v>
      </c>
      <c r="BJ49" s="87">
        <v>0</v>
      </c>
      <c r="BK49" s="87">
        <v>0</v>
      </c>
      <c r="BL49" s="87">
        <v>0</v>
      </c>
    </row>
    <row r="50" spans="1:64">
      <c r="A50" s="75">
        <v>18</v>
      </c>
      <c r="B50" s="82" t="s">
        <v>10</v>
      </c>
      <c r="C50" s="70">
        <f>C23/$K27</f>
        <v>9.1503267973856214E-3</v>
      </c>
      <c r="D50" s="70">
        <f t="shared" ref="D50:I50" si="19">D23/$K27</f>
        <v>6.5359477124183009E-3</v>
      </c>
      <c r="E50" s="70">
        <f t="shared" si="19"/>
        <v>5.2287581699346402E-3</v>
      </c>
      <c r="F50" s="70">
        <f t="shared" si="19"/>
        <v>1.3071895424836602E-2</v>
      </c>
      <c r="G50" s="70">
        <f t="shared" si="19"/>
        <v>3.9215686274509803E-3</v>
      </c>
      <c r="H50" s="70">
        <f t="shared" si="19"/>
        <v>3.9215686274509803E-3</v>
      </c>
      <c r="I50" s="70">
        <f t="shared" si="19"/>
        <v>1.30718954248366E-3</v>
      </c>
      <c r="J50" s="70"/>
      <c r="K50" s="70">
        <f t="shared" si="3"/>
        <v>4.3137254901960784E-2</v>
      </c>
      <c r="M50" s="82" t="s">
        <v>376</v>
      </c>
      <c r="N50" s="86">
        <v>2.7599701924828805E-2</v>
      </c>
      <c r="O50" s="86">
        <v>2.6530572781351448E-2</v>
      </c>
      <c r="P50" s="86">
        <v>1.6540792339471238E-2</v>
      </c>
      <c r="Q50" s="86">
        <v>3.2610983394445625E-2</v>
      </c>
      <c r="R50" s="86">
        <v>1.3427658241846014E-2</v>
      </c>
      <c r="S50" s="86">
        <v>1.4809696298154368E-2</v>
      </c>
      <c r="T50" s="86">
        <v>5.1130999256491358E-3</v>
      </c>
      <c r="AI50" s="81">
        <v>6</v>
      </c>
      <c r="AJ50" s="87">
        <v>0</v>
      </c>
      <c r="AK50" s="87">
        <v>0</v>
      </c>
      <c r="AL50" s="87">
        <v>0</v>
      </c>
      <c r="AM50" s="87">
        <v>0</v>
      </c>
      <c r="AN50" s="87">
        <v>0</v>
      </c>
      <c r="AO50" s="86">
        <v>1.7320508075688773E-2</v>
      </c>
      <c r="AP50" s="87">
        <v>0</v>
      </c>
      <c r="AR50" s="82" t="s">
        <v>414</v>
      </c>
      <c r="AS50" s="87">
        <v>0</v>
      </c>
      <c r="AT50" s="86">
        <f>SQRT(K34)</f>
        <v>0.20769510081357428</v>
      </c>
      <c r="AU50" s="87">
        <v>0</v>
      </c>
      <c r="AV50" s="87">
        <v>0</v>
      </c>
      <c r="AW50" s="87">
        <v>0</v>
      </c>
      <c r="AX50" s="87">
        <v>0</v>
      </c>
      <c r="AY50" s="87">
        <v>0</v>
      </c>
      <c r="AZ50" s="87">
        <v>0</v>
      </c>
      <c r="BA50" s="87">
        <v>0</v>
      </c>
      <c r="BB50" s="87">
        <v>0</v>
      </c>
      <c r="BC50" s="87">
        <v>0</v>
      </c>
      <c r="BD50" s="87">
        <v>0</v>
      </c>
      <c r="BE50" s="87">
        <v>0</v>
      </c>
      <c r="BF50" s="87">
        <v>0</v>
      </c>
      <c r="BG50" s="87">
        <v>0</v>
      </c>
      <c r="BH50" s="87">
        <v>0</v>
      </c>
      <c r="BI50" s="87">
        <v>0</v>
      </c>
      <c r="BJ50" s="87">
        <v>0</v>
      </c>
      <c r="BK50" s="87">
        <v>0</v>
      </c>
      <c r="BL50" s="87">
        <v>0</v>
      </c>
    </row>
    <row r="51" spans="1:64">
      <c r="A51" s="75">
        <v>19</v>
      </c>
      <c r="B51" s="82" t="s">
        <v>158</v>
      </c>
      <c r="C51" s="70">
        <f>C24/$K27</f>
        <v>2.6143790849673201E-3</v>
      </c>
      <c r="D51" s="70">
        <f t="shared" ref="D51:I51" si="20">D24/$K27</f>
        <v>2.6143790849673201E-3</v>
      </c>
      <c r="E51" s="70">
        <f t="shared" si="20"/>
        <v>2.6143790849673201E-3</v>
      </c>
      <c r="F51" s="70">
        <f t="shared" si="20"/>
        <v>3.9215686274509803E-3</v>
      </c>
      <c r="G51" s="70">
        <f t="shared" si="20"/>
        <v>2.6143790849673201E-3</v>
      </c>
      <c r="H51" s="70">
        <f t="shared" si="20"/>
        <v>2.6143790849673201E-3</v>
      </c>
      <c r="I51" s="70">
        <f t="shared" si="20"/>
        <v>5.2287581699346402E-3</v>
      </c>
      <c r="J51" s="70"/>
      <c r="K51" s="70">
        <f t="shared" si="3"/>
        <v>2.222222222222222E-2</v>
      </c>
      <c r="M51" s="82" t="s">
        <v>16</v>
      </c>
      <c r="N51" s="86">
        <v>2.7599701924828805E-2</v>
      </c>
      <c r="O51" s="86">
        <v>1.8950409129536747E-2</v>
      </c>
      <c r="P51" s="86">
        <v>5.5135974464904118E-3</v>
      </c>
      <c r="Q51" s="86">
        <v>2.7175819495371355E-2</v>
      </c>
      <c r="R51" s="86">
        <v>2.6855316483692028E-2</v>
      </c>
      <c r="S51" s="86">
        <v>2.9619392596308736E-2</v>
      </c>
      <c r="T51" s="86">
        <v>1.0226199851298272E-2</v>
      </c>
      <c r="AI51" s="81">
        <v>7</v>
      </c>
      <c r="AJ51" s="87">
        <v>0</v>
      </c>
      <c r="AK51" s="87">
        <v>0</v>
      </c>
      <c r="AL51" s="87">
        <v>0</v>
      </c>
      <c r="AM51" s="87">
        <v>0</v>
      </c>
      <c r="AN51" s="87">
        <v>0</v>
      </c>
      <c r="AO51" s="87">
        <v>0</v>
      </c>
      <c r="AP51" s="86">
        <v>0</v>
      </c>
      <c r="AR51" s="82" t="s">
        <v>415</v>
      </c>
      <c r="AS51" s="87">
        <v>0</v>
      </c>
      <c r="AT51" s="87">
        <v>0</v>
      </c>
      <c r="AU51" s="86">
        <f>SQRT(K35)</f>
        <v>0.2286647801900118</v>
      </c>
      <c r="AV51" s="87">
        <v>0</v>
      </c>
      <c r="AW51" s="87">
        <v>0</v>
      </c>
      <c r="AX51" s="87">
        <v>0</v>
      </c>
      <c r="AY51" s="87">
        <v>0</v>
      </c>
      <c r="AZ51" s="87">
        <v>0</v>
      </c>
      <c r="BA51" s="87">
        <v>0</v>
      </c>
      <c r="BB51" s="87">
        <v>0</v>
      </c>
      <c r="BC51" s="87">
        <v>0</v>
      </c>
      <c r="BD51" s="87">
        <v>0</v>
      </c>
      <c r="BE51" s="87">
        <v>0</v>
      </c>
      <c r="BF51" s="87">
        <v>0</v>
      </c>
      <c r="BG51" s="87">
        <v>0</v>
      </c>
      <c r="BH51" s="87">
        <v>0</v>
      </c>
      <c r="BI51" s="87">
        <v>0</v>
      </c>
      <c r="BJ51" s="87">
        <v>0</v>
      </c>
      <c r="BK51" s="87">
        <v>0</v>
      </c>
      <c r="BL51" s="87">
        <v>0</v>
      </c>
    </row>
    <row r="52" spans="1:64">
      <c r="A52" s="75">
        <v>20</v>
      </c>
      <c r="B52" s="82" t="s">
        <v>11</v>
      </c>
      <c r="C52" s="70">
        <f>C25/$K27</f>
        <v>5.2287581699346402E-3</v>
      </c>
      <c r="D52" s="70">
        <f t="shared" ref="D52:I52" si="21">D25/$K27</f>
        <v>5.2287581699346402E-3</v>
      </c>
      <c r="E52" s="70">
        <f t="shared" si="21"/>
        <v>1.30718954248366E-3</v>
      </c>
      <c r="F52" s="70">
        <f t="shared" si="21"/>
        <v>6.5359477124183009E-3</v>
      </c>
      <c r="G52" s="70">
        <f t="shared" si="21"/>
        <v>1.3071895424836602E-2</v>
      </c>
      <c r="H52" s="70">
        <f t="shared" si="21"/>
        <v>1.8300653594771243E-2</v>
      </c>
      <c r="I52" s="70">
        <f t="shared" si="21"/>
        <v>6.5359477124183009E-3</v>
      </c>
      <c r="J52" s="70"/>
      <c r="K52" s="70">
        <f t="shared" si="3"/>
        <v>5.6209150326797387E-2</v>
      </c>
      <c r="M52" s="82" t="s">
        <v>377</v>
      </c>
      <c r="N52" s="86">
        <v>1.5333167736016003E-2</v>
      </c>
      <c r="O52" s="86">
        <v>1.1370245477722049E-2</v>
      </c>
      <c r="P52" s="86">
        <v>1.1027194892980824E-2</v>
      </c>
      <c r="Q52" s="86">
        <v>1.6305491697222813E-2</v>
      </c>
      <c r="R52" s="86">
        <v>1.007074368138451E-2</v>
      </c>
      <c r="S52" s="86">
        <v>1.1847757038523492E-2</v>
      </c>
      <c r="T52" s="86">
        <v>1.0226199851298272E-2</v>
      </c>
      <c r="AI52" s="85"/>
      <c r="AJ52" s="85"/>
      <c r="AK52" s="85"/>
      <c r="AL52" s="85"/>
      <c r="AM52" s="85"/>
      <c r="AN52" s="85"/>
      <c r="AO52" s="85"/>
      <c r="AP52" s="85"/>
      <c r="AR52" s="82" t="s">
        <v>416</v>
      </c>
      <c r="AS52" s="87">
        <v>0</v>
      </c>
      <c r="AT52" s="87">
        <v>0</v>
      </c>
      <c r="AU52" s="87">
        <v>0</v>
      </c>
      <c r="AV52" s="86">
        <f>SQRT(K36)</f>
        <v>0.24786671518526249</v>
      </c>
      <c r="AW52" s="87">
        <v>0</v>
      </c>
      <c r="AX52" s="87">
        <v>0</v>
      </c>
      <c r="AY52" s="87">
        <v>0</v>
      </c>
      <c r="AZ52" s="87">
        <v>0</v>
      </c>
      <c r="BA52" s="87">
        <v>0</v>
      </c>
      <c r="BB52" s="87">
        <v>0</v>
      </c>
      <c r="BC52" s="87">
        <v>0</v>
      </c>
      <c r="BD52" s="87">
        <v>0</v>
      </c>
      <c r="BE52" s="87">
        <v>0</v>
      </c>
      <c r="BF52" s="87">
        <v>0</v>
      </c>
      <c r="BG52" s="87">
        <v>0</v>
      </c>
      <c r="BH52" s="87">
        <v>0</v>
      </c>
      <c r="BI52" s="87">
        <v>0</v>
      </c>
      <c r="BJ52" s="87">
        <v>0</v>
      </c>
      <c r="BK52" s="87">
        <v>0</v>
      </c>
      <c r="BL52" s="87">
        <v>0</v>
      </c>
    </row>
    <row r="53" spans="1:64">
      <c r="C53" s="73"/>
      <c r="D53" s="73"/>
      <c r="E53" s="73"/>
      <c r="F53" s="73"/>
      <c r="G53" s="73"/>
      <c r="H53" s="73"/>
      <c r="I53" s="73"/>
      <c r="J53" s="73"/>
      <c r="K53" s="73"/>
      <c r="M53" s="82" t="s">
        <v>272</v>
      </c>
      <c r="N53" s="86">
        <v>2.7599701924828805E-2</v>
      </c>
      <c r="O53" s="86">
        <v>2.6530572781351448E-2</v>
      </c>
      <c r="P53" s="86">
        <v>1.6540792339471238E-2</v>
      </c>
      <c r="Q53" s="86">
        <v>3.2610983394445625E-2</v>
      </c>
      <c r="R53" s="86">
        <v>1.6784572802307517E-2</v>
      </c>
      <c r="S53" s="86">
        <v>1.7771635557785239E-2</v>
      </c>
      <c r="T53" s="86">
        <v>5.1130999256491358E-3</v>
      </c>
      <c r="AR53" s="82" t="s">
        <v>417</v>
      </c>
      <c r="AS53" s="87">
        <v>0</v>
      </c>
      <c r="AT53" s="87">
        <v>0</v>
      </c>
      <c r="AU53" s="87">
        <v>0</v>
      </c>
      <c r="AV53" s="87">
        <v>0</v>
      </c>
      <c r="AW53" s="86">
        <f>SQRT(K37)</f>
        <v>0.29814239699997197</v>
      </c>
      <c r="AX53" s="87">
        <v>0</v>
      </c>
      <c r="AY53" s="87">
        <v>0</v>
      </c>
      <c r="AZ53" s="87">
        <v>0</v>
      </c>
      <c r="BA53" s="87">
        <v>0</v>
      </c>
      <c r="BB53" s="87">
        <v>0</v>
      </c>
      <c r="BC53" s="87">
        <v>0</v>
      </c>
      <c r="BD53" s="87">
        <v>0</v>
      </c>
      <c r="BE53" s="87">
        <v>0</v>
      </c>
      <c r="BF53" s="87">
        <v>0</v>
      </c>
      <c r="BG53" s="87">
        <v>0</v>
      </c>
      <c r="BH53" s="87">
        <v>0</v>
      </c>
      <c r="BI53" s="87">
        <v>0</v>
      </c>
      <c r="BJ53" s="87">
        <v>0</v>
      </c>
      <c r="BK53" s="87">
        <v>0</v>
      </c>
      <c r="BL53" s="87">
        <v>0</v>
      </c>
    </row>
    <row r="54" spans="1:64">
      <c r="B54" s="12" t="s">
        <v>185</v>
      </c>
      <c r="C54" s="71">
        <f>SUM(C33:C52)</f>
        <v>0.18169934640522878</v>
      </c>
      <c r="D54" s="71">
        <f t="shared" ref="D54:I54" si="22">SUM(D33:D52)</f>
        <v>0.11895424836601307</v>
      </c>
      <c r="E54" s="71">
        <f t="shared" si="22"/>
        <v>5.6209150326797373E-2</v>
      </c>
      <c r="F54" s="71">
        <f t="shared" si="22"/>
        <v>0.23137254901960783</v>
      </c>
      <c r="G54" s="71">
        <f t="shared" si="22"/>
        <v>0.15163398692810459</v>
      </c>
      <c r="H54" s="71">
        <f t="shared" si="22"/>
        <v>0.19477124183006533</v>
      </c>
      <c r="I54" s="71">
        <f t="shared" si="22"/>
        <v>6.535947712418301E-2</v>
      </c>
      <c r="J54" s="72"/>
      <c r="K54" s="72">
        <f>SUM(K33:K52)</f>
        <v>1</v>
      </c>
      <c r="M54" s="82" t="s">
        <v>221</v>
      </c>
      <c r="N54" s="86">
        <v>1.8399801283219202E-2</v>
      </c>
      <c r="O54" s="86">
        <v>2.2740490955444097E-2</v>
      </c>
      <c r="P54" s="86">
        <v>1.1027194892980824E-2</v>
      </c>
      <c r="Q54" s="86">
        <v>2.1740655596297082E-2</v>
      </c>
      <c r="R54" s="86">
        <v>1.6784572802307517E-2</v>
      </c>
      <c r="S54" s="86">
        <v>2.0733574817416115E-2</v>
      </c>
      <c r="T54" s="86">
        <v>1.0226199851298272E-2</v>
      </c>
      <c r="AI54" s="96"/>
      <c r="AR54" s="82" t="s">
        <v>179</v>
      </c>
      <c r="AS54" s="87">
        <v>0</v>
      </c>
      <c r="AT54" s="87">
        <v>0</v>
      </c>
      <c r="AU54" s="87">
        <v>0</v>
      </c>
      <c r="AV54" s="87">
        <v>0</v>
      </c>
      <c r="AW54" s="87">
        <v>0</v>
      </c>
      <c r="AX54" s="86">
        <f>SQRT(K38)</f>
        <v>0.23708469019908768</v>
      </c>
      <c r="AY54" s="87">
        <v>0</v>
      </c>
      <c r="AZ54" s="87">
        <v>0</v>
      </c>
      <c r="BA54" s="87">
        <v>0</v>
      </c>
      <c r="BB54" s="87">
        <v>0</v>
      </c>
      <c r="BC54" s="87">
        <v>0</v>
      </c>
      <c r="BD54" s="87">
        <v>0</v>
      </c>
      <c r="BE54" s="87">
        <v>0</v>
      </c>
      <c r="BF54" s="87">
        <v>0</v>
      </c>
      <c r="BG54" s="87">
        <v>0</v>
      </c>
      <c r="BH54" s="87">
        <v>0</v>
      </c>
      <c r="BI54" s="87">
        <v>0</v>
      </c>
      <c r="BJ54" s="87">
        <v>0</v>
      </c>
      <c r="BK54" s="87">
        <v>0</v>
      </c>
      <c r="BL54" s="87">
        <v>0</v>
      </c>
    </row>
    <row r="55" spans="1:64" ht="13.5" thickBot="1">
      <c r="M55" s="82" t="s">
        <v>181</v>
      </c>
      <c r="N55" s="86">
        <v>9.199900641609601E-3</v>
      </c>
      <c r="O55" s="86">
        <v>3.7900818259073493E-3</v>
      </c>
      <c r="P55" s="86">
        <v>0</v>
      </c>
      <c r="Q55" s="86">
        <v>8.1527458486114063E-3</v>
      </c>
      <c r="R55" s="86">
        <v>2.6855316483692028E-2</v>
      </c>
      <c r="S55" s="86">
        <v>2.665745333667786E-2</v>
      </c>
      <c r="T55" s="86">
        <v>4.0904799405193086E-2</v>
      </c>
      <c r="AI55" s="77" t="s">
        <v>215</v>
      </c>
      <c r="AJ55" s="77"/>
      <c r="AK55" s="77"/>
      <c r="AL55" s="77"/>
      <c r="AR55" s="82" t="s">
        <v>400</v>
      </c>
      <c r="AS55" s="87">
        <v>0</v>
      </c>
      <c r="AT55" s="87">
        <v>0</v>
      </c>
      <c r="AU55" s="87">
        <v>0</v>
      </c>
      <c r="AV55" s="87">
        <v>0</v>
      </c>
      <c r="AW55" s="87">
        <v>0</v>
      </c>
      <c r="AX55" s="87">
        <v>0</v>
      </c>
      <c r="AY55" s="86">
        <f>SQRT(K39)</f>
        <v>0.21389631597324932</v>
      </c>
      <c r="AZ55" s="87">
        <v>0</v>
      </c>
      <c r="BA55" s="87">
        <v>0</v>
      </c>
      <c r="BB55" s="87">
        <v>0</v>
      </c>
      <c r="BC55" s="87">
        <v>0</v>
      </c>
      <c r="BD55" s="87">
        <v>0</v>
      </c>
      <c r="BE55" s="87">
        <v>0</v>
      </c>
      <c r="BF55" s="87">
        <v>0</v>
      </c>
      <c r="BG55" s="87">
        <v>0</v>
      </c>
      <c r="BH55" s="87">
        <v>0</v>
      </c>
      <c r="BI55" s="87">
        <v>0</v>
      </c>
      <c r="BJ55" s="87">
        <v>0</v>
      </c>
      <c r="BK55" s="87">
        <v>0</v>
      </c>
      <c r="BL55" s="87">
        <v>0</v>
      </c>
    </row>
    <row r="56" spans="1:64" ht="13.5" thickTop="1">
      <c r="M56" s="82" t="s">
        <v>182</v>
      </c>
      <c r="N56" s="86">
        <v>3.0666335472032007E-2</v>
      </c>
      <c r="O56" s="86">
        <v>3.4110736433166144E-2</v>
      </c>
      <c r="P56" s="86">
        <v>1.1027194892980824E-2</v>
      </c>
      <c r="Q56" s="86">
        <v>3.8046147293519898E-2</v>
      </c>
      <c r="R56" s="86">
        <v>3.0212231044153531E-2</v>
      </c>
      <c r="S56" s="86">
        <v>3.8505210375201354E-2</v>
      </c>
      <c r="T56" s="86">
        <v>1.0226199851298272E-2</v>
      </c>
      <c r="AJ56" s="187" t="s">
        <v>34</v>
      </c>
      <c r="AK56" s="187"/>
      <c r="AL56" s="187"/>
      <c r="AR56" s="82" t="s">
        <v>14</v>
      </c>
      <c r="AS56" s="87">
        <v>0</v>
      </c>
      <c r="AT56" s="87">
        <v>0</v>
      </c>
      <c r="AU56" s="87">
        <v>0</v>
      </c>
      <c r="AV56" s="87">
        <v>0</v>
      </c>
      <c r="AW56" s="87">
        <v>0</v>
      </c>
      <c r="AX56" s="87">
        <v>0</v>
      </c>
      <c r="AY56" s="87">
        <v>0</v>
      </c>
      <c r="AZ56" s="86">
        <f>SQRT(K40)</f>
        <v>0.20452399702596544</v>
      </c>
      <c r="BA56" s="87">
        <v>0</v>
      </c>
      <c r="BB56" s="87">
        <v>0</v>
      </c>
      <c r="BC56" s="87">
        <v>0</v>
      </c>
      <c r="BD56" s="87">
        <v>0</v>
      </c>
      <c r="BE56" s="87">
        <v>0</v>
      </c>
      <c r="BF56" s="87">
        <v>0</v>
      </c>
      <c r="BG56" s="87">
        <v>0</v>
      </c>
      <c r="BH56" s="87">
        <v>0</v>
      </c>
      <c r="BI56" s="87">
        <v>0</v>
      </c>
      <c r="BJ56" s="87">
        <v>0</v>
      </c>
      <c r="BK56" s="87">
        <v>0</v>
      </c>
      <c r="BL56" s="87">
        <v>0</v>
      </c>
    </row>
    <row r="57" spans="1:64">
      <c r="M57" s="82" t="s">
        <v>156</v>
      </c>
      <c r="N57" s="86">
        <v>1.8399801283219202E-2</v>
      </c>
      <c r="O57" s="86">
        <v>3.7900818259073493E-3</v>
      </c>
      <c r="P57" s="86">
        <v>5.5135974464904118E-3</v>
      </c>
      <c r="Q57" s="86">
        <v>1.6305491697222813E-2</v>
      </c>
      <c r="R57" s="86">
        <v>1.6784572802307517E-2</v>
      </c>
      <c r="S57" s="86">
        <v>1.4809696298154368E-2</v>
      </c>
      <c r="T57" s="86">
        <v>1.5339299776947408E-2</v>
      </c>
      <c r="AI57" s="85" t="s">
        <v>138</v>
      </c>
      <c r="AJ57" s="90">
        <v>1</v>
      </c>
      <c r="AK57" s="90">
        <v>2</v>
      </c>
      <c r="AL57" s="90">
        <v>3</v>
      </c>
      <c r="AR57" s="82" t="s">
        <v>376</v>
      </c>
      <c r="AS57" s="87">
        <v>0</v>
      </c>
      <c r="AT57" s="87">
        <v>0</v>
      </c>
      <c r="AU57" s="87">
        <v>0</v>
      </c>
      <c r="AV57" s="87">
        <v>0</v>
      </c>
      <c r="AW57" s="87">
        <v>0</v>
      </c>
      <c r="AX57" s="87">
        <v>0</v>
      </c>
      <c r="AY57" s="87">
        <v>0</v>
      </c>
      <c r="AZ57" s="87">
        <v>0</v>
      </c>
      <c r="BA57" s="86">
        <f>SQRT(K41)</f>
        <v>0.23150544538267359</v>
      </c>
      <c r="BB57" s="87">
        <v>0</v>
      </c>
      <c r="BC57" s="87">
        <v>0</v>
      </c>
      <c r="BD57" s="87">
        <v>0</v>
      </c>
      <c r="BE57" s="87">
        <v>0</v>
      </c>
      <c r="BF57" s="87">
        <v>0</v>
      </c>
      <c r="BG57" s="87">
        <v>0</v>
      </c>
      <c r="BH57" s="87">
        <v>0</v>
      </c>
      <c r="BI57" s="87">
        <v>0</v>
      </c>
      <c r="BJ57" s="87">
        <v>0</v>
      </c>
      <c r="BK57" s="87">
        <v>0</v>
      </c>
      <c r="BL57" s="87">
        <v>0</v>
      </c>
    </row>
    <row r="58" spans="1:64">
      <c r="M58" s="82" t="s">
        <v>157</v>
      </c>
      <c r="N58" s="86">
        <v>2.1466434830422404E-2</v>
      </c>
      <c r="O58" s="86">
        <v>7.5801636518146986E-3</v>
      </c>
      <c r="P58" s="86">
        <v>1.1027194892980824E-2</v>
      </c>
      <c r="Q58" s="86">
        <v>2.1740655596297082E-2</v>
      </c>
      <c r="R58" s="86">
        <v>1.3427658241846014E-2</v>
      </c>
      <c r="S58" s="86">
        <v>1.4809696298154368E-2</v>
      </c>
      <c r="T58" s="86">
        <v>1.0226199851298272E-2</v>
      </c>
      <c r="AI58" s="75" t="s">
        <v>370</v>
      </c>
      <c r="AJ58" s="86">
        <f t="array" ref="AJ58:AL64">MMULT(AJ33:AL39,AJ45:AL47)</f>
        <v>0.42599999999999999</v>
      </c>
      <c r="AK58" s="86">
        <v>5.6780736169937077E-2</v>
      </c>
      <c r="AL58" s="86">
        <v>1.935313928023048E-2</v>
      </c>
      <c r="AR58" s="82" t="s">
        <v>16</v>
      </c>
      <c r="AS58" s="87">
        <v>0</v>
      </c>
      <c r="AT58" s="87"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87">
        <v>0</v>
      </c>
      <c r="BA58" s="87">
        <v>0</v>
      </c>
      <c r="BB58" s="86">
        <f>SQRT(K42)</f>
        <v>0.24253562503633297</v>
      </c>
      <c r="BC58" s="87">
        <v>0</v>
      </c>
      <c r="BD58" s="87">
        <v>0</v>
      </c>
      <c r="BE58" s="87">
        <v>0</v>
      </c>
      <c r="BF58" s="87">
        <v>0</v>
      </c>
      <c r="BG58" s="87">
        <v>0</v>
      </c>
      <c r="BH58" s="87">
        <v>0</v>
      </c>
      <c r="BI58" s="87">
        <v>0</v>
      </c>
      <c r="BJ58" s="87">
        <v>0</v>
      </c>
      <c r="BK58" s="87">
        <v>0</v>
      </c>
      <c r="BL58" s="87">
        <v>0</v>
      </c>
    </row>
    <row r="59" spans="1:64">
      <c r="C59" s="86"/>
      <c r="M59" s="82" t="s">
        <v>10</v>
      </c>
      <c r="N59" s="86">
        <v>2.1466434830422404E-2</v>
      </c>
      <c r="O59" s="86">
        <v>1.8950409129536747E-2</v>
      </c>
      <c r="P59" s="86">
        <v>2.2054389785961647E-2</v>
      </c>
      <c r="Q59" s="86">
        <v>2.7175819495371355E-2</v>
      </c>
      <c r="R59" s="86">
        <v>1.007074368138451E-2</v>
      </c>
      <c r="S59" s="86">
        <v>8.8858177788926195E-3</v>
      </c>
      <c r="T59" s="86">
        <v>5.1130999256491358E-3</v>
      </c>
      <c r="AI59" s="75" t="s">
        <v>371</v>
      </c>
      <c r="AJ59" s="86">
        <v>0.34499999999999997</v>
      </c>
      <c r="AK59" s="86">
        <v>0.10603631453421984</v>
      </c>
      <c r="AL59" s="86">
        <v>2.4096555770483051E-2</v>
      </c>
      <c r="AR59" s="82" t="s">
        <v>377</v>
      </c>
      <c r="AS59" s="87">
        <v>0</v>
      </c>
      <c r="AT59" s="87">
        <v>0</v>
      </c>
      <c r="AU59" s="87">
        <v>0</v>
      </c>
      <c r="AV59" s="87">
        <v>0</v>
      </c>
      <c r="AW59" s="87">
        <v>0</v>
      </c>
      <c r="AX59" s="87">
        <v>0</v>
      </c>
      <c r="AY59" s="87">
        <v>0</v>
      </c>
      <c r="AZ59" s="87">
        <v>0</v>
      </c>
      <c r="BA59" s="87">
        <v>0</v>
      </c>
      <c r="BB59" s="87">
        <v>0</v>
      </c>
      <c r="BC59" s="86">
        <f>SQRT(K43)</f>
        <v>0.18077538151554681</v>
      </c>
      <c r="BD59" s="87">
        <v>0</v>
      </c>
      <c r="BE59" s="87">
        <v>0</v>
      </c>
      <c r="BF59" s="87">
        <v>0</v>
      </c>
      <c r="BG59" s="87">
        <v>0</v>
      </c>
      <c r="BH59" s="87">
        <v>0</v>
      </c>
      <c r="BI59" s="87">
        <v>0</v>
      </c>
      <c r="BJ59" s="87">
        <v>0</v>
      </c>
      <c r="BK59" s="87">
        <v>0</v>
      </c>
      <c r="BL59" s="87">
        <v>0</v>
      </c>
    </row>
    <row r="60" spans="1:64">
      <c r="B60" s="82"/>
      <c r="C60" s="86"/>
      <c r="M60" s="82" t="s">
        <v>158</v>
      </c>
      <c r="N60" s="86">
        <v>6.1332670944064006E-3</v>
      </c>
      <c r="O60" s="86">
        <v>7.5801636518146986E-3</v>
      </c>
      <c r="P60" s="86">
        <v>1.1027194892980824E-2</v>
      </c>
      <c r="Q60" s="86">
        <v>8.1527458486114063E-3</v>
      </c>
      <c r="R60" s="86">
        <v>6.713829120923007E-3</v>
      </c>
      <c r="S60" s="86">
        <v>5.9238785192617461E-3</v>
      </c>
      <c r="T60" s="86">
        <v>2.0452399702596543E-2</v>
      </c>
      <c r="AI60" s="75" t="s">
        <v>372</v>
      </c>
      <c r="AJ60" s="86">
        <v>0.23699999999999999</v>
      </c>
      <c r="AK60" s="86">
        <v>0.16794784011710304</v>
      </c>
      <c r="AL60" s="86">
        <v>-9.0883859953239207E-2</v>
      </c>
      <c r="AR60" s="82" t="s">
        <v>272</v>
      </c>
      <c r="AS60" s="87">
        <v>0</v>
      </c>
      <c r="AT60" s="87">
        <v>0</v>
      </c>
      <c r="AU60" s="87">
        <v>0</v>
      </c>
      <c r="AV60" s="87">
        <v>0</v>
      </c>
      <c r="AW60" s="87">
        <v>0</v>
      </c>
      <c r="AX60" s="87">
        <v>0</v>
      </c>
      <c r="AY60" s="87">
        <v>0</v>
      </c>
      <c r="AZ60" s="87">
        <v>0</v>
      </c>
      <c r="BA60" s="87">
        <v>0</v>
      </c>
      <c r="BB60" s="87">
        <v>0</v>
      </c>
      <c r="BC60" s="87">
        <v>0</v>
      </c>
      <c r="BD60" s="86">
        <f>SQRT(K44)</f>
        <v>0.23708469019908768</v>
      </c>
      <c r="BE60" s="87">
        <v>0</v>
      </c>
      <c r="BF60" s="87">
        <v>0</v>
      </c>
      <c r="BG60" s="87">
        <v>0</v>
      </c>
      <c r="BH60" s="87">
        <v>0</v>
      </c>
      <c r="BI60" s="87">
        <v>0</v>
      </c>
      <c r="BJ60" s="87">
        <v>0</v>
      </c>
      <c r="BK60" s="87">
        <v>0</v>
      </c>
      <c r="BL60" s="87">
        <v>0</v>
      </c>
    </row>
    <row r="61" spans="1:64">
      <c r="B61" s="82"/>
      <c r="D61" s="86"/>
      <c r="M61" s="82" t="s">
        <v>11</v>
      </c>
      <c r="N61" s="86">
        <v>1.2266534188812801E-2</v>
      </c>
      <c r="O61" s="86">
        <v>1.5160327303629397E-2</v>
      </c>
      <c r="P61" s="86">
        <v>5.5135974464904118E-3</v>
      </c>
      <c r="Q61" s="86">
        <v>1.3587909747685678E-2</v>
      </c>
      <c r="R61" s="86">
        <v>3.3569145604615033E-2</v>
      </c>
      <c r="S61" s="86">
        <v>4.146714963483223E-2</v>
      </c>
      <c r="T61" s="86">
        <v>2.5565499628245683E-2</v>
      </c>
      <c r="AI61" s="75" t="s">
        <v>126</v>
      </c>
      <c r="AJ61" s="86">
        <v>0.48099999999999998</v>
      </c>
      <c r="AK61" s="86">
        <v>0.11219326182975518</v>
      </c>
      <c r="AL61" s="86">
        <v>1.1763672895826371E-2</v>
      </c>
      <c r="AR61" s="82" t="s">
        <v>221</v>
      </c>
      <c r="AS61" s="87">
        <v>0</v>
      </c>
      <c r="AT61" s="87">
        <v>0</v>
      </c>
      <c r="AU61" s="87">
        <v>0</v>
      </c>
      <c r="AV61" s="87">
        <v>0</v>
      </c>
      <c r="AW61" s="87">
        <v>0</v>
      </c>
      <c r="AX61" s="87">
        <v>0</v>
      </c>
      <c r="AY61" s="87">
        <v>0</v>
      </c>
      <c r="AZ61" s="87">
        <v>0</v>
      </c>
      <c r="BA61" s="87">
        <v>0</v>
      </c>
      <c r="BB61" s="87">
        <v>0</v>
      </c>
      <c r="BC61" s="87">
        <v>0</v>
      </c>
      <c r="BD61" s="87">
        <v>0</v>
      </c>
      <c r="BE61" s="86">
        <f>SQRT(K45)</f>
        <v>0.21693045781865616</v>
      </c>
      <c r="BF61" s="87">
        <v>0</v>
      </c>
      <c r="BG61" s="87">
        <v>0</v>
      </c>
      <c r="BH61" s="87">
        <v>0</v>
      </c>
      <c r="BI61" s="87">
        <v>0</v>
      </c>
      <c r="BJ61" s="87">
        <v>0</v>
      </c>
      <c r="BK61" s="87">
        <v>0</v>
      </c>
      <c r="BL61" s="87">
        <v>0</v>
      </c>
    </row>
    <row r="62" spans="1:64">
      <c r="B62" s="82"/>
      <c r="E62" s="86"/>
      <c r="M62" s="85"/>
      <c r="N62" s="85"/>
      <c r="O62" s="85"/>
      <c r="P62" s="85"/>
      <c r="Q62" s="85"/>
      <c r="R62" s="85"/>
      <c r="S62" s="85"/>
      <c r="T62" s="85"/>
      <c r="AI62" s="75" t="s">
        <v>339</v>
      </c>
      <c r="AJ62" s="86">
        <v>0.38900000000000001</v>
      </c>
      <c r="AK62" s="86">
        <v>-0.13032205108883149</v>
      </c>
      <c r="AL62" s="86">
        <v>2.6373395685804286E-2</v>
      </c>
      <c r="AR62" s="82" t="s">
        <v>181</v>
      </c>
      <c r="AS62" s="87">
        <v>0</v>
      </c>
      <c r="AT62" s="87">
        <v>0</v>
      </c>
      <c r="AU62" s="87">
        <v>0</v>
      </c>
      <c r="AV62" s="87">
        <v>0</v>
      </c>
      <c r="AW62" s="87">
        <v>0</v>
      </c>
      <c r="AX62" s="87">
        <v>0</v>
      </c>
      <c r="AY62" s="87">
        <v>0</v>
      </c>
      <c r="AZ62" s="87">
        <v>0</v>
      </c>
      <c r="BA62" s="87">
        <v>0</v>
      </c>
      <c r="BB62" s="87">
        <v>0</v>
      </c>
      <c r="BC62" s="87">
        <v>0</v>
      </c>
      <c r="BD62" s="87">
        <v>0</v>
      </c>
      <c r="BE62" s="87">
        <v>0</v>
      </c>
      <c r="BF62" s="86">
        <f>SQRT(K46)</f>
        <v>0.20452399702596544</v>
      </c>
      <c r="BG62" s="87">
        <v>0</v>
      </c>
      <c r="BH62" s="87">
        <v>0</v>
      </c>
      <c r="BI62" s="87">
        <v>0</v>
      </c>
      <c r="BJ62" s="87">
        <v>0</v>
      </c>
      <c r="BK62" s="87">
        <v>0</v>
      </c>
      <c r="BL62" s="87">
        <v>0</v>
      </c>
    </row>
    <row r="63" spans="1:64">
      <c r="B63" s="82"/>
      <c r="F63" s="86"/>
      <c r="AI63" s="75" t="s">
        <v>340</v>
      </c>
      <c r="AJ63" s="86">
        <v>0.441</v>
      </c>
      <c r="AK63" s="86">
        <v>-0.14674057721025907</v>
      </c>
      <c r="AL63" s="86">
        <v>6.1474677713673292E-2</v>
      </c>
      <c r="AR63" s="82" t="s">
        <v>182</v>
      </c>
      <c r="AS63" s="87">
        <v>0</v>
      </c>
      <c r="AT63" s="87">
        <v>0</v>
      </c>
      <c r="AU63" s="87">
        <v>0</v>
      </c>
      <c r="AV63" s="87">
        <v>0</v>
      </c>
      <c r="AW63" s="87">
        <v>0</v>
      </c>
      <c r="AX63" s="87">
        <v>0</v>
      </c>
      <c r="AY63" s="87">
        <v>0</v>
      </c>
      <c r="AZ63" s="87">
        <v>0</v>
      </c>
      <c r="BA63" s="87">
        <v>0</v>
      </c>
      <c r="BB63" s="87">
        <v>0</v>
      </c>
      <c r="BC63" s="87">
        <v>0</v>
      </c>
      <c r="BD63" s="87">
        <v>0</v>
      </c>
      <c r="BE63" s="87">
        <v>0</v>
      </c>
      <c r="BF63" s="87">
        <v>0</v>
      </c>
      <c r="BG63" s="86">
        <f>SQRT(K47)</f>
        <v>0.27771241060949359</v>
      </c>
      <c r="BH63" s="87">
        <v>0</v>
      </c>
      <c r="BI63" s="87">
        <v>0</v>
      </c>
      <c r="BJ63" s="87">
        <v>0</v>
      </c>
      <c r="BK63" s="87">
        <v>0</v>
      </c>
      <c r="BL63" s="87">
        <v>0</v>
      </c>
    </row>
    <row r="64" spans="1:64">
      <c r="B64" s="82"/>
      <c r="G64" s="86"/>
      <c r="AI64" s="75" t="s">
        <v>341</v>
      </c>
      <c r="AJ64" s="86">
        <v>0.25600000000000001</v>
      </c>
      <c r="AK64" s="86">
        <v>-0.15289752450579441</v>
      </c>
      <c r="AL64" s="86">
        <v>-0.14875354113432057</v>
      </c>
      <c r="AR64" s="82" t="s">
        <v>156</v>
      </c>
      <c r="AS64" s="87">
        <v>0</v>
      </c>
      <c r="AT64" s="87">
        <v>0</v>
      </c>
      <c r="AU64" s="87">
        <v>0</v>
      </c>
      <c r="AV64" s="87">
        <v>0</v>
      </c>
      <c r="AW64" s="87">
        <v>0</v>
      </c>
      <c r="AX64" s="87">
        <v>0</v>
      </c>
      <c r="AY64" s="87">
        <v>0</v>
      </c>
      <c r="AZ64" s="87">
        <v>0</v>
      </c>
      <c r="BA64" s="87">
        <v>0</v>
      </c>
      <c r="BB64" s="87">
        <v>0</v>
      </c>
      <c r="BC64" s="87">
        <v>0</v>
      </c>
      <c r="BD64" s="87">
        <v>0</v>
      </c>
      <c r="BE64" s="87">
        <v>0</v>
      </c>
      <c r="BF64" s="87">
        <v>0</v>
      </c>
      <c r="BG64" s="87">
        <v>0</v>
      </c>
      <c r="BH64" s="86">
        <f>SQRT(K48)</f>
        <v>0.18786728732554484</v>
      </c>
      <c r="BI64" s="87">
        <v>0</v>
      </c>
      <c r="BJ64" s="87">
        <v>0</v>
      </c>
      <c r="BK64" s="87">
        <v>0</v>
      </c>
      <c r="BL64" s="87">
        <v>0</v>
      </c>
    </row>
    <row r="65" spans="2:64" ht="13.5" thickBot="1">
      <c r="B65" s="82"/>
      <c r="H65" s="86"/>
      <c r="M65" s="76" t="s">
        <v>28</v>
      </c>
      <c r="N65" s="77"/>
      <c r="O65" s="77"/>
      <c r="P65" s="77"/>
      <c r="Q65" s="77"/>
      <c r="R65" s="77"/>
      <c r="S65" s="77"/>
      <c r="T65" s="77"/>
      <c r="AI65" s="85"/>
      <c r="AJ65" s="85"/>
      <c r="AK65" s="85"/>
      <c r="AL65" s="85"/>
      <c r="AR65" s="82" t="s">
        <v>157</v>
      </c>
      <c r="AS65" s="87">
        <v>0</v>
      </c>
      <c r="AT65" s="87">
        <v>0</v>
      </c>
      <c r="AU65" s="87">
        <v>0</v>
      </c>
      <c r="AV65" s="87">
        <v>0</v>
      </c>
      <c r="AW65" s="87">
        <v>0</v>
      </c>
      <c r="AX65" s="87">
        <v>0</v>
      </c>
      <c r="AY65" s="87">
        <v>0</v>
      </c>
      <c r="AZ65" s="87">
        <v>0</v>
      </c>
      <c r="BA65" s="87">
        <v>0</v>
      </c>
      <c r="BB65" s="87">
        <v>0</v>
      </c>
      <c r="BC65" s="87">
        <v>0</v>
      </c>
      <c r="BD65" s="87">
        <v>0</v>
      </c>
      <c r="BE65" s="87">
        <v>0</v>
      </c>
      <c r="BF65" s="87">
        <v>0</v>
      </c>
      <c r="BG65" s="87">
        <v>0</v>
      </c>
      <c r="BH65" s="87">
        <v>0</v>
      </c>
      <c r="BI65" s="86">
        <f>SQRT(K49)</f>
        <v>0.19802950859533483</v>
      </c>
      <c r="BJ65" s="87">
        <v>0</v>
      </c>
      <c r="BK65" s="87">
        <v>0</v>
      </c>
      <c r="BL65" s="87">
        <v>0</v>
      </c>
    </row>
    <row r="66" spans="2:64" ht="13.5" thickTop="1">
      <c r="B66" s="82"/>
      <c r="I66" s="86"/>
      <c r="N66" s="65" t="s">
        <v>467</v>
      </c>
      <c r="O66" s="65" t="s">
        <v>468</v>
      </c>
      <c r="P66" s="65" t="s">
        <v>469</v>
      </c>
      <c r="Q66" s="65" t="s">
        <v>470</v>
      </c>
      <c r="R66" s="65" t="s">
        <v>247</v>
      </c>
      <c r="S66" s="65" t="s">
        <v>248</v>
      </c>
      <c r="T66" s="65" t="s">
        <v>249</v>
      </c>
      <c r="AR66" s="82" t="s">
        <v>10</v>
      </c>
      <c r="AS66" s="87">
        <v>0</v>
      </c>
      <c r="AT66" s="87">
        <v>0</v>
      </c>
      <c r="AU66" s="87">
        <v>0</v>
      </c>
      <c r="AV66" s="87">
        <v>0</v>
      </c>
      <c r="AW66" s="87">
        <v>0</v>
      </c>
      <c r="AX66" s="87">
        <v>0</v>
      </c>
      <c r="AY66" s="87">
        <v>0</v>
      </c>
      <c r="AZ66" s="87">
        <v>0</v>
      </c>
      <c r="BA66" s="87">
        <v>0</v>
      </c>
      <c r="BB66" s="87">
        <v>0</v>
      </c>
      <c r="BC66" s="87">
        <v>0</v>
      </c>
      <c r="BD66" s="87">
        <v>0</v>
      </c>
      <c r="BE66" s="87">
        <v>0</v>
      </c>
      <c r="BF66" s="87">
        <v>0</v>
      </c>
      <c r="BG66" s="87">
        <v>0</v>
      </c>
      <c r="BH66" s="87">
        <v>0</v>
      </c>
      <c r="BI66" s="87">
        <v>0</v>
      </c>
      <c r="BJ66" s="86">
        <f>SQRT(K50)</f>
        <v>0.20769510081357428</v>
      </c>
      <c r="BK66" s="87">
        <v>0</v>
      </c>
      <c r="BL66" s="87">
        <v>0</v>
      </c>
    </row>
    <row r="67" spans="2:64">
      <c r="M67" s="85" t="s">
        <v>138</v>
      </c>
      <c r="N67" s="66" t="s">
        <v>250</v>
      </c>
      <c r="O67" s="66" t="s">
        <v>251</v>
      </c>
      <c r="P67" s="66" t="s">
        <v>252</v>
      </c>
      <c r="Q67" s="66" t="s">
        <v>252</v>
      </c>
      <c r="R67" s="66" t="s">
        <v>252</v>
      </c>
      <c r="S67" s="66" t="s">
        <v>253</v>
      </c>
      <c r="T67" s="66" t="s">
        <v>250</v>
      </c>
      <c r="AR67" s="82" t="s">
        <v>158</v>
      </c>
      <c r="AS67" s="87">
        <v>0</v>
      </c>
      <c r="AT67" s="87">
        <v>0</v>
      </c>
      <c r="AU67" s="87">
        <v>0</v>
      </c>
      <c r="AV67" s="87">
        <v>0</v>
      </c>
      <c r="AW67" s="87">
        <v>0</v>
      </c>
      <c r="AX67" s="87">
        <v>0</v>
      </c>
      <c r="AY67" s="87">
        <v>0</v>
      </c>
      <c r="AZ67" s="87">
        <v>0</v>
      </c>
      <c r="BA67" s="87">
        <v>0</v>
      </c>
      <c r="BB67" s="87">
        <v>0</v>
      </c>
      <c r="BC67" s="87">
        <v>0</v>
      </c>
      <c r="BD67" s="87">
        <v>0</v>
      </c>
      <c r="BE67" s="87">
        <v>0</v>
      </c>
      <c r="BF67" s="87">
        <v>0</v>
      </c>
      <c r="BG67" s="87">
        <v>0</v>
      </c>
      <c r="BH67" s="87">
        <v>0</v>
      </c>
      <c r="BI67" s="87">
        <v>0</v>
      </c>
      <c r="BJ67" s="87">
        <v>0</v>
      </c>
      <c r="BK67" s="86">
        <f>SQRT(K51)</f>
        <v>0.14907119849998596</v>
      </c>
      <c r="BL67" s="87">
        <v>0</v>
      </c>
    </row>
    <row r="68" spans="2:64" ht="13.5" thickBot="1">
      <c r="B68" s="82"/>
      <c r="C68" s="86"/>
      <c r="M68" s="82" t="s">
        <v>413</v>
      </c>
      <c r="N68" s="86">
        <f t="array" ref="N68:T87">MMULT(N17:AG36,N42:T61)</f>
        <v>0.11309185729066276</v>
      </c>
      <c r="O68" s="86">
        <v>8.7357069726826525E-2</v>
      </c>
      <c r="P68" s="86">
        <v>7.6249285166302347E-2</v>
      </c>
      <c r="Q68" s="86">
        <v>0.12527433800047147</v>
      </c>
      <c r="R68" s="86">
        <v>6.1898446059017287E-2</v>
      </c>
      <c r="S68" s="86">
        <v>6.8269326709920045E-2</v>
      </c>
      <c r="T68" s="86">
        <v>2.357022603955158E-2</v>
      </c>
      <c r="AI68" s="76" t="s">
        <v>209</v>
      </c>
      <c r="AJ68" s="77"/>
      <c r="AK68" s="77"/>
      <c r="AL68" s="77"/>
      <c r="AM68" s="77"/>
      <c r="AN68" s="77"/>
      <c r="AO68" s="77"/>
      <c r="AP68" s="77"/>
      <c r="AR68" s="82" t="s">
        <v>11</v>
      </c>
      <c r="AS68" s="87">
        <v>0</v>
      </c>
      <c r="AT68" s="87">
        <v>0</v>
      </c>
      <c r="AU68" s="87">
        <v>0</v>
      </c>
      <c r="AV68" s="87">
        <v>0</v>
      </c>
      <c r="AW68" s="87">
        <v>0</v>
      </c>
      <c r="AX68" s="87">
        <v>0</v>
      </c>
      <c r="AY68" s="87">
        <v>0</v>
      </c>
      <c r="AZ68" s="87">
        <v>0</v>
      </c>
      <c r="BA68" s="87">
        <v>0</v>
      </c>
      <c r="BB68" s="87">
        <v>0</v>
      </c>
      <c r="BC68" s="87">
        <v>0</v>
      </c>
      <c r="BD68" s="87">
        <v>0</v>
      </c>
      <c r="BE68" s="87">
        <v>0</v>
      </c>
      <c r="BF68" s="87">
        <v>0</v>
      </c>
      <c r="BG68" s="87">
        <v>0</v>
      </c>
      <c r="BH68" s="87">
        <v>0</v>
      </c>
      <c r="BI68" s="87">
        <v>0</v>
      </c>
      <c r="BJ68" s="87">
        <v>0</v>
      </c>
      <c r="BK68" s="87">
        <v>0</v>
      </c>
      <c r="BL68" s="86">
        <f>SQRT(K52)</f>
        <v>0.23708469019908768</v>
      </c>
    </row>
    <row r="69" spans="2:64" ht="13.5" thickTop="1">
      <c r="B69" s="82"/>
      <c r="C69" s="86"/>
      <c r="M69" s="82" t="s">
        <v>414</v>
      </c>
      <c r="N69" s="86">
        <v>8.8590444411756911E-2</v>
      </c>
      <c r="O69" s="86">
        <v>0.10948978029027179</v>
      </c>
      <c r="P69" s="86">
        <v>0.13273296830047474</v>
      </c>
      <c r="Q69" s="86">
        <v>0.13084477866314326</v>
      </c>
      <c r="R69" s="86">
        <v>3.2325409191761793E-2</v>
      </c>
      <c r="S69" s="86">
        <v>4.2782991722411734E-2</v>
      </c>
      <c r="T69" s="86">
        <v>2.4618298195866542E-2</v>
      </c>
      <c r="AJ69" s="65" t="s">
        <v>467</v>
      </c>
      <c r="AK69" s="65" t="s">
        <v>468</v>
      </c>
      <c r="AL69" s="65" t="s">
        <v>469</v>
      </c>
      <c r="AM69" s="65" t="s">
        <v>470</v>
      </c>
      <c r="AN69" s="65" t="s">
        <v>247</v>
      </c>
      <c r="AO69" s="65" t="s">
        <v>248</v>
      </c>
      <c r="AP69" s="65" t="s">
        <v>249</v>
      </c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</row>
    <row r="70" spans="2:64">
      <c r="B70" s="82"/>
      <c r="C70" s="86"/>
      <c r="M70" s="82" t="s">
        <v>415</v>
      </c>
      <c r="N70" s="86">
        <v>0.10728835615716399</v>
      </c>
      <c r="O70" s="86">
        <v>0.11602387022306428</v>
      </c>
      <c r="P70" s="86">
        <v>0.16878498775964429</v>
      </c>
      <c r="Q70" s="86">
        <v>0.15449937377599671</v>
      </c>
      <c r="R70" s="86">
        <v>2.9361010975735173E-2</v>
      </c>
      <c r="S70" s="86">
        <v>2.5906388007541987E-2</v>
      </c>
      <c r="T70" s="86">
        <v>2.2360679774997894E-2</v>
      </c>
      <c r="AI70" s="85" t="s">
        <v>138</v>
      </c>
      <c r="AJ70" s="66" t="s">
        <v>250</v>
      </c>
      <c r="AK70" s="66" t="s">
        <v>251</v>
      </c>
      <c r="AL70" s="66" t="s">
        <v>252</v>
      </c>
      <c r="AM70" s="66" t="s">
        <v>252</v>
      </c>
      <c r="AN70" s="66" t="s">
        <v>252</v>
      </c>
      <c r="AO70" s="66" t="s">
        <v>253</v>
      </c>
      <c r="AP70" s="66" t="s">
        <v>250</v>
      </c>
    </row>
    <row r="71" spans="2:64">
      <c r="B71" s="82"/>
      <c r="C71" s="86"/>
      <c r="M71" s="82" t="s">
        <v>416</v>
      </c>
      <c r="N71" s="86">
        <v>0.12372107101637723</v>
      </c>
      <c r="O71" s="86">
        <v>1.5290805879581438E-2</v>
      </c>
      <c r="P71" s="86">
        <v>2.2244202665006457E-2</v>
      </c>
      <c r="Q71" s="86">
        <v>0.10963884148405885</v>
      </c>
      <c r="R71" s="86">
        <v>0.13543224462197162</v>
      </c>
      <c r="S71" s="86">
        <v>0.13144698283344505</v>
      </c>
      <c r="T71" s="86">
        <v>8.2513699700703463E-2</v>
      </c>
      <c r="AI71" s="75" t="s">
        <v>370</v>
      </c>
      <c r="AJ71" s="86">
        <f>SQRT(C54)</f>
        <v>0.42626206306124498</v>
      </c>
      <c r="AK71" s="87">
        <v>0</v>
      </c>
      <c r="AL71" s="87">
        <v>0</v>
      </c>
      <c r="AM71" s="87">
        <v>0</v>
      </c>
      <c r="AN71" s="87">
        <v>0</v>
      </c>
      <c r="AO71" s="87">
        <v>0</v>
      </c>
      <c r="AP71" s="87">
        <v>0</v>
      </c>
    </row>
    <row r="72" spans="2:64" ht="13.5" thickBot="1">
      <c r="B72" s="82"/>
      <c r="C72" s="86"/>
      <c r="M72" s="82" t="s">
        <v>417</v>
      </c>
      <c r="N72" s="86">
        <v>0.10285801610441499</v>
      </c>
      <c r="O72" s="86">
        <v>0.11441088814070731</v>
      </c>
      <c r="P72" s="86">
        <v>1.8493168036382727E-2</v>
      </c>
      <c r="Q72" s="86">
        <v>0.12761065744542019</v>
      </c>
      <c r="R72" s="86">
        <v>0.14637263846108961</v>
      </c>
      <c r="S72" s="86">
        <v>0.18875827959816086</v>
      </c>
      <c r="T72" s="86">
        <v>3.4299717028501764E-2</v>
      </c>
      <c r="AI72" s="75" t="s">
        <v>371</v>
      </c>
      <c r="AJ72" s="87">
        <v>0</v>
      </c>
      <c r="AK72" s="86">
        <f>(SQRT(D54))</f>
        <v>0.34489744615756879</v>
      </c>
      <c r="AL72" s="87">
        <v>0</v>
      </c>
      <c r="AM72" s="87">
        <v>0</v>
      </c>
      <c r="AN72" s="87">
        <v>0</v>
      </c>
      <c r="AO72" s="87">
        <v>0</v>
      </c>
      <c r="AP72" s="87">
        <v>0</v>
      </c>
      <c r="AR72" s="77" t="s">
        <v>418</v>
      </c>
      <c r="AS72" s="77"/>
      <c r="AT72" s="77"/>
      <c r="AU72" s="77"/>
    </row>
    <row r="73" spans="2:64" ht="13.5" thickTop="1">
      <c r="B73" s="82"/>
      <c r="C73" s="86"/>
      <c r="M73" s="82" t="s">
        <v>179</v>
      </c>
      <c r="N73" s="86">
        <v>0.11641283923332393</v>
      </c>
      <c r="O73" s="86">
        <v>4.795858167043214E-2</v>
      </c>
      <c r="P73" s="86">
        <v>2.3255813953488375E-2</v>
      </c>
      <c r="Q73" s="86">
        <v>0.1031624501999511</v>
      </c>
      <c r="R73" s="86">
        <v>0.1132730943577198</v>
      </c>
      <c r="S73" s="86">
        <v>0.12493169664998771</v>
      </c>
      <c r="T73" s="86">
        <v>6.4699663922063042E-2</v>
      </c>
      <c r="AI73" s="75" t="s">
        <v>372</v>
      </c>
      <c r="AJ73" s="87">
        <v>0</v>
      </c>
      <c r="AK73" s="87">
        <v>0</v>
      </c>
      <c r="AL73" s="86">
        <f>(SQRT(E54))</f>
        <v>0.23708469019908765</v>
      </c>
      <c r="AM73" s="87">
        <v>0</v>
      </c>
      <c r="AN73" s="87">
        <v>0</v>
      </c>
      <c r="AO73" s="87">
        <v>0</v>
      </c>
      <c r="AP73" s="87">
        <v>0</v>
      </c>
      <c r="AS73" s="187" t="s">
        <v>168</v>
      </c>
      <c r="AT73" s="187"/>
      <c r="AU73" s="187"/>
    </row>
    <row r="74" spans="2:64">
      <c r="B74" s="82"/>
      <c r="C74" s="86"/>
      <c r="M74" s="82" t="s">
        <v>400</v>
      </c>
      <c r="N74" s="86">
        <v>7.1685048273265384E-2</v>
      </c>
      <c r="O74" s="86">
        <v>7.0876991193833394E-2</v>
      </c>
      <c r="P74" s="86">
        <v>2.5776963111323353E-2</v>
      </c>
      <c r="Q74" s="86">
        <v>8.8935957406293273E-2</v>
      </c>
      <c r="R74" s="86">
        <v>9.4164723086151661E-2</v>
      </c>
      <c r="S74" s="86">
        <v>0.12462792178249457</v>
      </c>
      <c r="T74" s="86">
        <v>7.1713716560063617E-2</v>
      </c>
      <c r="AI74" s="75" t="s">
        <v>126</v>
      </c>
      <c r="AJ74" s="87">
        <v>0</v>
      </c>
      <c r="AK74" s="87">
        <v>0</v>
      </c>
      <c r="AL74" s="87">
        <v>0</v>
      </c>
      <c r="AM74" s="86">
        <f>(SQRT(F54))</f>
        <v>0.48101200506807296</v>
      </c>
      <c r="AN74" s="87">
        <v>0</v>
      </c>
      <c r="AO74" s="87">
        <v>0</v>
      </c>
      <c r="AP74" s="87">
        <v>0</v>
      </c>
      <c r="AR74" s="85" t="s">
        <v>138</v>
      </c>
      <c r="AS74" s="90">
        <v>1</v>
      </c>
      <c r="AT74" s="90">
        <v>2</v>
      </c>
      <c r="AU74" s="90">
        <v>3</v>
      </c>
    </row>
    <row r="75" spans="2:64">
      <c r="B75" s="82"/>
      <c r="C75" s="86"/>
      <c r="M75" s="82" t="s">
        <v>14</v>
      </c>
      <c r="N75" s="86">
        <v>8.9964021585610066E-2</v>
      </c>
      <c r="O75" s="86">
        <v>7.4124931666110117E-2</v>
      </c>
      <c r="P75" s="86">
        <v>2.695819330085961E-2</v>
      </c>
      <c r="Q75" s="86">
        <v>9.3011450604228441E-2</v>
      </c>
      <c r="R75" s="86">
        <v>8.2066520537326604E-2</v>
      </c>
      <c r="S75" s="86">
        <v>0.10137477811361116</v>
      </c>
      <c r="T75" s="86">
        <v>0.05</v>
      </c>
      <c r="AI75" s="75" t="s">
        <v>339</v>
      </c>
      <c r="AJ75" s="87">
        <v>0</v>
      </c>
      <c r="AK75" s="87">
        <v>0</v>
      </c>
      <c r="AL75" s="87">
        <v>0</v>
      </c>
      <c r="AM75" s="87">
        <v>0</v>
      </c>
      <c r="AN75" s="86">
        <f>SQRT(G54)</f>
        <v>0.3894020890135344</v>
      </c>
      <c r="AO75" s="87">
        <v>0</v>
      </c>
      <c r="AP75" s="87">
        <v>0</v>
      </c>
      <c r="AR75" s="82" t="s">
        <v>413</v>
      </c>
      <c r="AS75" s="86">
        <f t="array" ref="AS75:AU94">MMULT(AS49:BL68,AW23:AY42)</f>
        <v>4.7044103944817339E-2</v>
      </c>
      <c r="AT75" s="86">
        <v>1.3227460845187699E-2</v>
      </c>
      <c r="AU75" s="86">
        <v>1.3270519665849691E-3</v>
      </c>
    </row>
    <row r="76" spans="2:64">
      <c r="B76" s="82"/>
      <c r="C76" s="86"/>
      <c r="M76" s="82" t="s">
        <v>376</v>
      </c>
      <c r="N76" s="86">
        <v>0.11921837034635226</v>
      </c>
      <c r="O76" s="86">
        <v>0.11460021053715162</v>
      </c>
      <c r="P76" s="86">
        <v>7.1448826234431162E-2</v>
      </c>
      <c r="Q76" s="86">
        <v>0.14086486536219639</v>
      </c>
      <c r="R76" s="86">
        <v>5.8001479056574157E-2</v>
      </c>
      <c r="S76" s="86">
        <v>6.3971265443343042E-2</v>
      </c>
      <c r="T76" s="86">
        <v>2.2086305214969307E-2</v>
      </c>
      <c r="AI76" s="75" t="s">
        <v>340</v>
      </c>
      <c r="AJ76" s="87">
        <v>0</v>
      </c>
      <c r="AK76" s="87">
        <v>0</v>
      </c>
      <c r="AL76" s="87">
        <v>0</v>
      </c>
      <c r="AM76" s="87">
        <v>0</v>
      </c>
      <c r="AN76" s="87">
        <v>0</v>
      </c>
      <c r="AO76" s="86">
        <f>(SQRT(H54))</f>
        <v>0.44132894968500008</v>
      </c>
      <c r="AP76" s="87">
        <v>0</v>
      </c>
      <c r="AR76" s="82" t="s">
        <v>414</v>
      </c>
      <c r="AS76" s="86">
        <v>4.312824562714123E-2</v>
      </c>
      <c r="AT76" s="86">
        <v>2.3897929345836059E-2</v>
      </c>
      <c r="AU76" s="86">
        <v>-6.9517861269411708E-3</v>
      </c>
    </row>
    <row r="77" spans="2:64">
      <c r="B77" s="82"/>
      <c r="C77" s="86"/>
      <c r="M77" s="82" t="s">
        <v>16</v>
      </c>
      <c r="N77" s="86">
        <v>0.11379648627163222</v>
      </c>
      <c r="O77" s="86">
        <v>7.8134538489749231E-2</v>
      </c>
      <c r="P77" s="86">
        <v>2.2733144649015786E-2</v>
      </c>
      <c r="Q77" s="86">
        <v>0.11204877424213573</v>
      </c>
      <c r="R77" s="86">
        <v>0.1107273064716533</v>
      </c>
      <c r="S77" s="86">
        <v>0.12212388424121863</v>
      </c>
      <c r="T77" s="86">
        <v>4.2163702135578386E-2</v>
      </c>
      <c r="AI77" s="75" t="s">
        <v>341</v>
      </c>
      <c r="AJ77" s="87">
        <v>0</v>
      </c>
      <c r="AK77" s="87">
        <v>0</v>
      </c>
      <c r="AL77" s="87">
        <v>0</v>
      </c>
      <c r="AM77" s="87">
        <v>0</v>
      </c>
      <c r="AN77" s="87">
        <v>0</v>
      </c>
      <c r="AO77" s="87">
        <v>0</v>
      </c>
      <c r="AP77" s="86">
        <f>(SQRT(I54))</f>
        <v>0.2556549962824568</v>
      </c>
      <c r="AR77" s="82" t="s">
        <v>415</v>
      </c>
      <c r="AS77" s="86">
        <v>5.2277296368617714E-2</v>
      </c>
      <c r="AT77" s="86">
        <v>3.5450102322718578E-2</v>
      </c>
      <c r="AU77" s="86">
        <v>-1.1581076922665795E-2</v>
      </c>
    </row>
    <row r="78" spans="2:64">
      <c r="B78" s="82"/>
      <c r="C78" s="86"/>
      <c r="M78" s="82" t="s">
        <v>377</v>
      </c>
      <c r="N78" s="86">
        <v>8.4818892967997078E-2</v>
      </c>
      <c r="O78" s="86">
        <v>6.289709020331509E-2</v>
      </c>
      <c r="P78" s="86">
        <v>6.0999428133041871E-2</v>
      </c>
      <c r="Q78" s="86">
        <v>9.0197523360339454E-2</v>
      </c>
      <c r="R78" s="86">
        <v>5.5708601453115549E-2</v>
      </c>
      <c r="S78" s="86">
        <v>6.5538553641523223E-2</v>
      </c>
      <c r="T78" s="86">
        <v>5.6568542494923796E-2</v>
      </c>
      <c r="AI78" s="85"/>
      <c r="AJ78" s="85"/>
      <c r="AK78" s="85"/>
      <c r="AL78" s="85"/>
      <c r="AM78" s="85"/>
      <c r="AN78" s="85"/>
      <c r="AO78" s="85"/>
      <c r="AP78" s="85"/>
      <c r="AR78" s="82" t="s">
        <v>416</v>
      </c>
      <c r="AS78" s="86">
        <v>6.1412308225644856E-2</v>
      </c>
      <c r="AT78" s="86">
        <v>-1.8023076313519886E-2</v>
      </c>
      <c r="AU78" s="86">
        <v>1.8409756354118493E-3</v>
      </c>
    </row>
    <row r="79" spans="2:64">
      <c r="B79" s="82"/>
      <c r="C79" s="86"/>
      <c r="M79" s="82" t="s">
        <v>272</v>
      </c>
      <c r="N79" s="86">
        <v>0.11641283923332393</v>
      </c>
      <c r="O79" s="86">
        <v>0.11190335723100832</v>
      </c>
      <c r="P79" s="86">
        <v>6.9767441860465129E-2</v>
      </c>
      <c r="Q79" s="86">
        <v>0.13754993359993481</v>
      </c>
      <c r="R79" s="86">
        <v>7.0795683973574872E-2</v>
      </c>
      <c r="S79" s="86">
        <v>7.4959017989992605E-2</v>
      </c>
      <c r="T79" s="86">
        <v>2.1566554640687682E-2</v>
      </c>
      <c r="AR79" s="82" t="s">
        <v>417</v>
      </c>
      <c r="AS79" s="86">
        <v>8.8850895574162508E-2</v>
      </c>
      <c r="AT79" s="86">
        <v>-1.4489423415607267E-2</v>
      </c>
      <c r="AU79" s="86">
        <v>2.3460179710112435E-2</v>
      </c>
    </row>
    <row r="80" spans="2:64">
      <c r="B80" s="82"/>
      <c r="C80" s="86"/>
      <c r="M80" s="82" t="s">
        <v>221</v>
      </c>
      <c r="N80" s="86">
        <v>8.4818892967997078E-2</v>
      </c>
      <c r="O80" s="86">
        <v>0.10482848367219183</v>
      </c>
      <c r="P80" s="86">
        <v>5.0832856777534893E-2</v>
      </c>
      <c r="Q80" s="86">
        <v>0.10021947040037718</v>
      </c>
      <c r="R80" s="86">
        <v>7.7373057573771609E-2</v>
      </c>
      <c r="S80" s="86">
        <v>9.5577057393888068E-2</v>
      </c>
      <c r="T80" s="86">
        <v>4.7140452079103161E-2</v>
      </c>
      <c r="AR80" s="82" t="s">
        <v>179</v>
      </c>
      <c r="AS80" s="86">
        <v>5.6187073554182551E-2</v>
      </c>
      <c r="AT80" s="86">
        <v>-1.095945712552277E-2</v>
      </c>
      <c r="AU80" s="86">
        <v>4.4381494902865056E-3</v>
      </c>
    </row>
    <row r="81" spans="13:47" ht="13.5" thickBot="1">
      <c r="M81" s="82" t="s">
        <v>181</v>
      </c>
      <c r="N81" s="86">
        <v>4.4982010792805033E-2</v>
      </c>
      <c r="O81" s="86">
        <v>1.8531232916527529E-2</v>
      </c>
      <c r="P81" s="86">
        <v>0</v>
      </c>
      <c r="Q81" s="86">
        <v>3.9862050258955048E-2</v>
      </c>
      <c r="R81" s="86">
        <v>0.13130643285972257</v>
      </c>
      <c r="S81" s="86">
        <v>0.13033900043178578</v>
      </c>
      <c r="T81" s="86">
        <v>0.2</v>
      </c>
      <c r="AI81" s="77" t="s">
        <v>167</v>
      </c>
      <c r="AJ81" s="77"/>
      <c r="AK81" s="77"/>
      <c r="AL81" s="77"/>
      <c r="AR81" s="82" t="s">
        <v>400</v>
      </c>
      <c r="AS81" s="86">
        <v>4.5736899642695346E-2</v>
      </c>
      <c r="AT81" s="86">
        <v>-9.7748693562774696E-3</v>
      </c>
      <c r="AU81" s="86">
        <v>1.4384326652465255E-3</v>
      </c>
    </row>
    <row r="82" spans="13:47" ht="13.5" thickTop="1">
      <c r="M82" s="82" t="s">
        <v>182</v>
      </c>
      <c r="N82" s="86">
        <v>0.11042479306102598</v>
      </c>
      <c r="O82" s="86">
        <v>0.12282755516148355</v>
      </c>
      <c r="P82" s="86">
        <v>3.9707245595468753E-2</v>
      </c>
      <c r="Q82" s="86">
        <v>0.13699836896025017</v>
      </c>
      <c r="R82" s="86">
        <v>0.10878963233168783</v>
      </c>
      <c r="S82" s="86">
        <v>0.13865138504503355</v>
      </c>
      <c r="T82" s="86">
        <v>3.6822984715932927E-2</v>
      </c>
      <c r="AJ82" s="187" t="s">
        <v>168</v>
      </c>
      <c r="AK82" s="187"/>
      <c r="AL82" s="187"/>
      <c r="AR82" s="82" t="s">
        <v>14</v>
      </c>
      <c r="AS82" s="86">
        <v>4.1816061761823772E-2</v>
      </c>
      <c r="AT82" s="86">
        <v>-3.1599241883774479E-3</v>
      </c>
      <c r="AU82" s="86">
        <v>3.3739518646252247E-3</v>
      </c>
    </row>
    <row r="83" spans="13:47">
      <c r="M83" s="82" t="s">
        <v>156</v>
      </c>
      <c r="N83" s="86">
        <v>9.7940421374878336E-2</v>
      </c>
      <c r="O83" s="86">
        <v>2.017425108896008E-2</v>
      </c>
      <c r="P83" s="86">
        <v>2.9348363544187465E-2</v>
      </c>
      <c r="Q83" s="86">
        <v>8.6792607320549248E-2</v>
      </c>
      <c r="R83" s="86">
        <v>8.9342711236482908E-2</v>
      </c>
      <c r="S83" s="86">
        <v>7.8830628306733708E-2</v>
      </c>
      <c r="T83" s="86">
        <v>8.1649658092772609E-2</v>
      </c>
      <c r="AI83" s="85" t="s">
        <v>138</v>
      </c>
      <c r="AJ83" s="90">
        <v>1</v>
      </c>
      <c r="AK83" s="90">
        <v>2</v>
      </c>
      <c r="AL83" s="90">
        <v>3</v>
      </c>
      <c r="AR83" s="82" t="s">
        <v>376</v>
      </c>
      <c r="AS83" s="86">
        <v>5.357996013125671E-2</v>
      </c>
      <c r="AT83" s="86">
        <v>1.7869106504982357E-2</v>
      </c>
      <c r="AU83" s="86">
        <v>2.9395095339227665E-3</v>
      </c>
    </row>
    <row r="84" spans="13:47">
      <c r="M84" s="82" t="s">
        <v>157</v>
      </c>
      <c r="N84" s="86">
        <v>0.1084001822894394</v>
      </c>
      <c r="O84" s="86">
        <v>3.8277950117547643E-2</v>
      </c>
      <c r="P84" s="86">
        <v>5.5684604638970465E-2</v>
      </c>
      <c r="Q84" s="86">
        <v>0.10978492927901577</v>
      </c>
      <c r="R84" s="86">
        <v>6.7806350362081047E-2</v>
      </c>
      <c r="S84" s="86">
        <v>7.4785300449426328E-2</v>
      </c>
      <c r="T84" s="86">
        <v>5.1639777949432225E-2</v>
      </c>
      <c r="AI84" s="75" t="s">
        <v>370</v>
      </c>
      <c r="AJ84" s="86">
        <f t="array" ref="AJ84:AL90">MMULT(AJ71:AP77,AJ58:AL64)</f>
        <v>0.18158763886409035</v>
      </c>
      <c r="AK84" s="86">
        <v>2.4203473741933632E-2</v>
      </c>
      <c r="AL84" s="86">
        <v>8.2495090763026625E-3</v>
      </c>
      <c r="AR84" s="82" t="s">
        <v>16</v>
      </c>
      <c r="AS84" s="86">
        <v>5.8800433350819803E-2</v>
      </c>
      <c r="AT84" s="86">
        <v>-5.4326838472468679E-3</v>
      </c>
      <c r="AU84" s="86">
        <v>9.577990696647198E-3</v>
      </c>
    </row>
    <row r="85" spans="13:47">
      <c r="M85" s="82" t="s">
        <v>10</v>
      </c>
      <c r="N85" s="86">
        <v>0.10335551848038307</v>
      </c>
      <c r="O85" s="86">
        <v>9.124148357522649E-2</v>
      </c>
      <c r="P85" s="86">
        <v>0.10618637464037978</v>
      </c>
      <c r="Q85" s="86">
        <v>0.13084477866314326</v>
      </c>
      <c r="R85" s="86">
        <v>4.8488113787642687E-2</v>
      </c>
      <c r="S85" s="86">
        <v>4.2782991722411734E-2</v>
      </c>
      <c r="T85" s="86">
        <v>2.4618298195866542E-2</v>
      </c>
      <c r="AI85" s="75" t="s">
        <v>371</v>
      </c>
      <c r="AJ85" s="86">
        <v>0.11898961892436122</v>
      </c>
      <c r="AK85" s="86">
        <v>3.657165408281312E-2</v>
      </c>
      <c r="AL85" s="86">
        <v>8.3108405464330324E-3</v>
      </c>
      <c r="AR85" s="82" t="s">
        <v>377</v>
      </c>
      <c r="AS85" s="86">
        <v>3.2671338149337335E-2</v>
      </c>
      <c r="AT85" s="86">
        <v>3.3418834657507547E-3</v>
      </c>
      <c r="AU85" s="86">
        <v>-4.0419156149894553E-3</v>
      </c>
    </row>
    <row r="86" spans="13:47">
      <c r="M86" s="82" t="s">
        <v>158</v>
      </c>
      <c r="N86" s="86">
        <v>4.1143206441766E-2</v>
      </c>
      <c r="O86" s="86">
        <v>5.0849283618092149E-2</v>
      </c>
      <c r="P86" s="86">
        <v>7.3972672145530938E-2</v>
      </c>
      <c r="Q86" s="86">
        <v>5.4690281762322948E-2</v>
      </c>
      <c r="R86" s="86">
        <v>4.5037734911104507E-2</v>
      </c>
      <c r="S86" s="86">
        <v>3.9738585178560194E-2</v>
      </c>
      <c r="T86" s="86">
        <v>0.13719886811400708</v>
      </c>
      <c r="AI86" s="75" t="s">
        <v>372</v>
      </c>
      <c r="AJ86" s="86">
        <v>5.6189071577183773E-2</v>
      </c>
      <c r="AK86" s="86">
        <v>3.9817861643769277E-2</v>
      </c>
      <c r="AL86" s="86">
        <v>-2.1547171781110985E-2</v>
      </c>
      <c r="AR86" s="82" t="s">
        <v>272</v>
      </c>
      <c r="AS86" s="86">
        <v>5.619201510877344E-2</v>
      </c>
      <c r="AT86" s="86">
        <v>1.5319450115064876E-2</v>
      </c>
      <c r="AU86" s="86">
        <v>4.3657889779473184E-3</v>
      </c>
    </row>
    <row r="87" spans="13:47">
      <c r="M87" s="82" t="s">
        <v>11</v>
      </c>
      <c r="N87" s="86">
        <v>5.1739039659255075E-2</v>
      </c>
      <c r="O87" s="86">
        <v>6.3944775560576178E-2</v>
      </c>
      <c r="P87" s="86">
        <v>2.3255813953488375E-2</v>
      </c>
      <c r="Q87" s="86">
        <v>5.7312472333306171E-2</v>
      </c>
      <c r="R87" s="86">
        <v>0.14159136794714974</v>
      </c>
      <c r="S87" s="86">
        <v>0.17490437530998279</v>
      </c>
      <c r="T87" s="86">
        <v>0.10783277320343843</v>
      </c>
      <c r="AI87" s="75" t="s">
        <v>126</v>
      </c>
      <c r="AJ87" s="86">
        <v>0.23136677443774309</v>
      </c>
      <c r="AK87" s="86">
        <v>5.3966305827857837E-2</v>
      </c>
      <c r="AL87" s="86">
        <v>5.6584678865863871E-3</v>
      </c>
      <c r="AR87" s="82" t="s">
        <v>221</v>
      </c>
      <c r="AS87" s="86">
        <v>4.7045097734245436E-2</v>
      </c>
      <c r="AT87" s="86">
        <v>2.7884697693600778E-3</v>
      </c>
      <c r="AU87" s="86">
        <v>1.8641095524080872E-3</v>
      </c>
    </row>
    <row r="88" spans="13:47">
      <c r="M88" s="85"/>
      <c r="N88" s="85"/>
      <c r="O88" s="85"/>
      <c r="P88" s="85"/>
      <c r="Q88" s="85"/>
      <c r="R88" s="85"/>
      <c r="S88" s="85"/>
      <c r="T88" s="85"/>
      <c r="AI88" s="75" t="s">
        <v>339</v>
      </c>
      <c r="AJ88" s="86">
        <v>0.15147741262626488</v>
      </c>
      <c r="AK88" s="86">
        <v>-5.0747678938519537E-2</v>
      </c>
      <c r="AL88" s="86">
        <v>1.0269855374432724E-2</v>
      </c>
      <c r="AR88" s="82" t="s">
        <v>181</v>
      </c>
      <c r="AS88" s="86">
        <v>4.1822490337806377E-2</v>
      </c>
      <c r="AT88" s="86">
        <v>-3.4576158884959768E-2</v>
      </c>
      <c r="AU88" s="86">
        <v>-1.7774258361406246E-2</v>
      </c>
    </row>
    <row r="89" spans="13:47">
      <c r="AI89" s="75" t="s">
        <v>340</v>
      </c>
      <c r="AJ89" s="86">
        <v>0.19462606681108505</v>
      </c>
      <c r="AK89" s="86">
        <v>-6.4760864816374289E-2</v>
      </c>
      <c r="AL89" s="86">
        <v>2.7130554947599316E-2</v>
      </c>
      <c r="AR89" s="82" t="s">
        <v>182</v>
      </c>
      <c r="AS89" s="86">
        <v>7.7096967831919355E-2</v>
      </c>
      <c r="AT89" s="86">
        <v>9.5772237505272536E-4</v>
      </c>
      <c r="AU89" s="86">
        <v>1.3194712116904523E-2</v>
      </c>
    </row>
    <row r="90" spans="13:47">
      <c r="AI90" s="75" t="s">
        <v>341</v>
      </c>
      <c r="AJ90" s="86">
        <v>6.5447679048308949E-2</v>
      </c>
      <c r="AK90" s="86">
        <v>-3.9089016059125715E-2</v>
      </c>
      <c r="AL90" s="86">
        <v>-3.8029586005697009E-2</v>
      </c>
      <c r="AR90" s="82" t="s">
        <v>156</v>
      </c>
      <c r="AS90" s="86">
        <v>3.5282693308254051E-2</v>
      </c>
      <c r="AT90" s="86">
        <v>-7.3202789479213425E-3</v>
      </c>
      <c r="AU90" s="86">
        <v>-4.1665663738665107E-3</v>
      </c>
    </row>
    <row r="91" spans="13:47" ht="13.5" thickBot="1">
      <c r="M91" s="76" t="s">
        <v>223</v>
      </c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I91" s="85"/>
      <c r="AJ91" s="85"/>
      <c r="AK91" s="85"/>
      <c r="AL91" s="85"/>
      <c r="AR91" s="82" t="s">
        <v>157</v>
      </c>
      <c r="AS91" s="86">
        <v>3.9202900514587899E-2</v>
      </c>
      <c r="AT91" s="86">
        <v>2.4181578063698209E-3</v>
      </c>
      <c r="AU91" s="86">
        <v>-2.1344031574830756E-3</v>
      </c>
    </row>
    <row r="92" spans="13:47" ht="13.5" thickTop="1">
      <c r="M92" s="85" t="s">
        <v>138</v>
      </c>
      <c r="N92" s="80" t="s">
        <v>413</v>
      </c>
      <c r="O92" s="80" t="s">
        <v>414</v>
      </c>
      <c r="P92" s="80" t="s">
        <v>415</v>
      </c>
      <c r="Q92" s="80" t="s">
        <v>416</v>
      </c>
      <c r="R92" s="80" t="s">
        <v>417</v>
      </c>
      <c r="S92" s="80" t="s">
        <v>179</v>
      </c>
      <c r="T92" s="80" t="s">
        <v>400</v>
      </c>
      <c r="U92" s="80" t="s">
        <v>14</v>
      </c>
      <c r="V92" s="80" t="s">
        <v>376</v>
      </c>
      <c r="W92" s="80" t="s">
        <v>16</v>
      </c>
      <c r="X92" s="80" t="s">
        <v>377</v>
      </c>
      <c r="Y92" s="80" t="s">
        <v>272</v>
      </c>
      <c r="Z92" s="80" t="s">
        <v>221</v>
      </c>
      <c r="AA92" s="80" t="s">
        <v>181</v>
      </c>
      <c r="AB92" s="80" t="s">
        <v>182</v>
      </c>
      <c r="AC92" s="80" t="s">
        <v>156</v>
      </c>
      <c r="AD92" s="80" t="s">
        <v>157</v>
      </c>
      <c r="AE92" s="80" t="s">
        <v>10</v>
      </c>
      <c r="AF92" s="80" t="s">
        <v>158</v>
      </c>
      <c r="AG92" s="80" t="s">
        <v>11</v>
      </c>
      <c r="AR92" s="82" t="s">
        <v>10</v>
      </c>
      <c r="AS92" s="86">
        <v>4.3126170457513047E-2</v>
      </c>
      <c r="AT92" s="86">
        <v>1.9245904354877885E-2</v>
      </c>
      <c r="AU92" s="86">
        <v>-4.0127055962436171E-3</v>
      </c>
    </row>
    <row r="93" spans="13:47">
      <c r="M93" s="75" t="s">
        <v>370</v>
      </c>
      <c r="N93" s="86">
        <v>0.11309185729066276</v>
      </c>
      <c r="O93" s="86">
        <v>8.8590444411756911E-2</v>
      </c>
      <c r="P93" s="86">
        <v>0.10728835615716399</v>
      </c>
      <c r="Q93" s="86">
        <v>0.12372107101637723</v>
      </c>
      <c r="R93" s="86">
        <v>0.10285801610441499</v>
      </c>
      <c r="S93" s="86">
        <v>0.11641283923332393</v>
      </c>
      <c r="T93" s="86">
        <v>7.1685048273265384E-2</v>
      </c>
      <c r="U93" s="86">
        <v>8.9964021585610066E-2</v>
      </c>
      <c r="V93" s="86">
        <v>0.11921837034635226</v>
      </c>
      <c r="W93" s="86">
        <v>0.11379648627163222</v>
      </c>
      <c r="X93" s="86">
        <v>8.4818892967997078E-2</v>
      </c>
      <c r="Y93" s="86">
        <v>0.11641283923332393</v>
      </c>
      <c r="Z93" s="86">
        <v>8.4818892967997078E-2</v>
      </c>
      <c r="AA93" s="86">
        <v>4.4982010792805033E-2</v>
      </c>
      <c r="AB93" s="86">
        <v>0.11042479306102598</v>
      </c>
      <c r="AC93" s="86">
        <v>9.7940421374878336E-2</v>
      </c>
      <c r="AD93" s="86">
        <v>0.1084001822894394</v>
      </c>
      <c r="AE93" s="86">
        <v>0.10335551848038307</v>
      </c>
      <c r="AF93" s="86">
        <v>4.1143206441766E-2</v>
      </c>
      <c r="AG93" s="86">
        <v>5.1739039659255075E-2</v>
      </c>
      <c r="AR93" s="82" t="s">
        <v>158</v>
      </c>
      <c r="AS93" s="86">
        <v>2.2222768463809932E-2</v>
      </c>
      <c r="AT93" s="86">
        <v>-2.7851090463634647E-3</v>
      </c>
      <c r="AU93" s="86">
        <v>-1.6370404562500575E-2</v>
      </c>
    </row>
    <row r="94" spans="13:47">
      <c r="M94" s="75" t="s">
        <v>371</v>
      </c>
      <c r="N94" s="86">
        <v>8.7357069726826525E-2</v>
      </c>
      <c r="O94" s="86">
        <v>0.10948978029027179</v>
      </c>
      <c r="P94" s="86">
        <v>0.11602387022306428</v>
      </c>
      <c r="Q94" s="86">
        <v>1.5290805879581438E-2</v>
      </c>
      <c r="R94" s="86">
        <v>0.11441088814070731</v>
      </c>
      <c r="S94" s="86">
        <v>4.795858167043214E-2</v>
      </c>
      <c r="T94" s="86">
        <v>7.0876991193833394E-2</v>
      </c>
      <c r="U94" s="86">
        <v>7.4124931666110117E-2</v>
      </c>
      <c r="V94" s="86">
        <v>0.11460021053715162</v>
      </c>
      <c r="W94" s="86">
        <v>7.8134538489749231E-2</v>
      </c>
      <c r="X94" s="86">
        <v>6.289709020331509E-2</v>
      </c>
      <c r="Y94" s="86">
        <v>0.11190335723100832</v>
      </c>
      <c r="Z94" s="86">
        <v>0.10482848367219183</v>
      </c>
      <c r="AA94" s="86">
        <v>1.8531232916527529E-2</v>
      </c>
      <c r="AB94" s="86">
        <v>0.12282755516148355</v>
      </c>
      <c r="AC94" s="86">
        <v>2.017425108896008E-2</v>
      </c>
      <c r="AD94" s="86">
        <v>3.8277950117547643E-2</v>
      </c>
      <c r="AE94" s="86">
        <v>9.124148357522649E-2</v>
      </c>
      <c r="AF94" s="86">
        <v>5.0849283618092149E-2</v>
      </c>
      <c r="AG94" s="86">
        <v>6.3944775560576178E-2</v>
      </c>
      <c r="AR94" s="82" t="s">
        <v>11</v>
      </c>
      <c r="AS94" s="86">
        <v>5.6188542201628583E-2</v>
      </c>
      <c r="AT94" s="86">
        <v>-2.8107073119591441E-2</v>
      </c>
      <c r="AU94" s="86">
        <v>-5.6389870551004086E-4</v>
      </c>
    </row>
    <row r="95" spans="13:47">
      <c r="M95" s="75" t="s">
        <v>372</v>
      </c>
      <c r="N95" s="86">
        <v>7.6249285166302347E-2</v>
      </c>
      <c r="O95" s="86">
        <v>0.13273296830047474</v>
      </c>
      <c r="P95" s="86">
        <v>0.16878498775964429</v>
      </c>
      <c r="Q95" s="86">
        <v>2.2244202665006457E-2</v>
      </c>
      <c r="R95" s="86">
        <v>1.8493168036382727E-2</v>
      </c>
      <c r="S95" s="86">
        <v>2.3255813953488375E-2</v>
      </c>
      <c r="T95" s="86">
        <v>2.5776963111323353E-2</v>
      </c>
      <c r="U95" s="86">
        <v>2.695819330085961E-2</v>
      </c>
      <c r="V95" s="86">
        <v>7.1448826234431162E-2</v>
      </c>
      <c r="W95" s="86">
        <v>2.2733144649015786E-2</v>
      </c>
      <c r="X95" s="86">
        <v>6.0999428133041871E-2</v>
      </c>
      <c r="Y95" s="86">
        <v>6.9767441860465129E-2</v>
      </c>
      <c r="Z95" s="86">
        <v>5.0832856777534893E-2</v>
      </c>
      <c r="AA95" s="86">
        <v>0</v>
      </c>
      <c r="AB95" s="86">
        <v>3.9707245595468753E-2</v>
      </c>
      <c r="AC95" s="86">
        <v>2.9348363544187465E-2</v>
      </c>
      <c r="AD95" s="86">
        <v>5.5684604638970465E-2</v>
      </c>
      <c r="AE95" s="86">
        <v>0.10618637464037978</v>
      </c>
      <c r="AF95" s="86">
        <v>7.3972672145530938E-2</v>
      </c>
      <c r="AG95" s="86">
        <v>2.3255813953488375E-2</v>
      </c>
      <c r="AR95" s="85"/>
      <c r="AS95" s="85"/>
      <c r="AT95" s="85"/>
      <c r="AU95" s="85"/>
    </row>
    <row r="96" spans="13:47">
      <c r="M96" s="75" t="s">
        <v>126</v>
      </c>
      <c r="N96" s="86">
        <v>0.12527433800047147</v>
      </c>
      <c r="O96" s="86">
        <v>0.13084477866314326</v>
      </c>
      <c r="P96" s="86">
        <v>0.15449937377599671</v>
      </c>
      <c r="Q96" s="86">
        <v>0.10963884148405885</v>
      </c>
      <c r="R96" s="86">
        <v>0.12761065744542019</v>
      </c>
      <c r="S96" s="86">
        <v>0.1031624501999511</v>
      </c>
      <c r="T96" s="86">
        <v>8.8935957406293273E-2</v>
      </c>
      <c r="U96" s="86">
        <v>9.3011450604228441E-2</v>
      </c>
      <c r="V96" s="86">
        <v>0.14086486536219639</v>
      </c>
      <c r="W96" s="86">
        <v>0.11204877424213573</v>
      </c>
      <c r="X96" s="86">
        <v>9.0197523360339454E-2</v>
      </c>
      <c r="Y96" s="86">
        <v>0.13754993359993481</v>
      </c>
      <c r="Z96" s="86">
        <v>0.10021947040037718</v>
      </c>
      <c r="AA96" s="86">
        <v>3.9862050258955048E-2</v>
      </c>
      <c r="AB96" s="86">
        <v>0.13699836896025017</v>
      </c>
      <c r="AC96" s="86">
        <v>8.6792607320549248E-2</v>
      </c>
      <c r="AD96" s="86">
        <v>0.10978492927901577</v>
      </c>
      <c r="AE96" s="86">
        <v>0.13084477866314326</v>
      </c>
      <c r="AF96" s="86">
        <v>5.4690281762322948E-2</v>
      </c>
      <c r="AG96" s="86">
        <v>5.7312472333306171E-2</v>
      </c>
    </row>
    <row r="97" spans="13:47">
      <c r="M97" s="75" t="s">
        <v>339</v>
      </c>
      <c r="N97" s="86">
        <v>6.1898446059017287E-2</v>
      </c>
      <c r="O97" s="86">
        <v>3.2325409191761793E-2</v>
      </c>
      <c r="P97" s="86">
        <v>2.9361010975735173E-2</v>
      </c>
      <c r="Q97" s="86">
        <v>0.13543224462197162</v>
      </c>
      <c r="R97" s="86">
        <v>0.14637263846108961</v>
      </c>
      <c r="S97" s="86">
        <v>0.1132730943577198</v>
      </c>
      <c r="T97" s="86">
        <v>9.4164723086151661E-2</v>
      </c>
      <c r="U97" s="86">
        <v>8.2066520537326604E-2</v>
      </c>
      <c r="V97" s="86">
        <v>5.8001479056574157E-2</v>
      </c>
      <c r="W97" s="86">
        <v>0.1107273064716533</v>
      </c>
      <c r="X97" s="86">
        <v>5.5708601453115549E-2</v>
      </c>
      <c r="Y97" s="86">
        <v>7.0795683973574872E-2</v>
      </c>
      <c r="Z97" s="86">
        <v>7.7373057573771609E-2</v>
      </c>
      <c r="AA97" s="86">
        <v>0.13130643285972257</v>
      </c>
      <c r="AB97" s="86">
        <v>0.10878963233168783</v>
      </c>
      <c r="AC97" s="86">
        <v>8.9342711236482908E-2</v>
      </c>
      <c r="AD97" s="86">
        <v>6.7806350362081047E-2</v>
      </c>
      <c r="AE97" s="86">
        <v>4.8488113787642687E-2</v>
      </c>
      <c r="AF97" s="86">
        <v>4.5037734911104507E-2</v>
      </c>
      <c r="AG97" s="86">
        <v>0.14159136794714974</v>
      </c>
    </row>
    <row r="98" spans="13:47">
      <c r="M98" s="75" t="s">
        <v>340</v>
      </c>
      <c r="N98" s="86">
        <v>6.8269326709920045E-2</v>
      </c>
      <c r="O98" s="86">
        <v>4.2782991722411734E-2</v>
      </c>
      <c r="P98" s="86">
        <v>2.5906388007541987E-2</v>
      </c>
      <c r="Q98" s="86">
        <v>0.13144698283344505</v>
      </c>
      <c r="R98" s="86">
        <v>0.18875827959816086</v>
      </c>
      <c r="S98" s="86">
        <v>0.12493169664998771</v>
      </c>
      <c r="T98" s="86">
        <v>0.12462792178249457</v>
      </c>
      <c r="U98" s="86">
        <v>0.10137477811361116</v>
      </c>
      <c r="V98" s="86">
        <v>6.3971265443343042E-2</v>
      </c>
      <c r="W98" s="86">
        <v>0.12212388424121863</v>
      </c>
      <c r="X98" s="86">
        <v>6.5538553641523223E-2</v>
      </c>
      <c r="Y98" s="86">
        <v>7.4959017989992605E-2</v>
      </c>
      <c r="Z98" s="86">
        <v>9.5577057393888068E-2</v>
      </c>
      <c r="AA98" s="86">
        <v>0.13033900043178578</v>
      </c>
      <c r="AB98" s="86">
        <v>0.13865138504503355</v>
      </c>
      <c r="AC98" s="86">
        <v>7.8830628306733708E-2</v>
      </c>
      <c r="AD98" s="86">
        <v>7.4785300449426328E-2</v>
      </c>
      <c r="AE98" s="86">
        <v>4.2782991722411734E-2</v>
      </c>
      <c r="AF98" s="86">
        <v>3.9738585178560194E-2</v>
      </c>
      <c r="AG98" s="86">
        <v>0.17490437530998279</v>
      </c>
    </row>
    <row r="99" spans="13:47">
      <c r="M99" s="75" t="s">
        <v>341</v>
      </c>
      <c r="N99" s="86">
        <v>2.357022603955158E-2</v>
      </c>
      <c r="O99" s="86">
        <v>2.4618298195866542E-2</v>
      </c>
      <c r="P99" s="86">
        <v>2.2360679774997894E-2</v>
      </c>
      <c r="Q99" s="86">
        <v>8.2513699700703463E-2</v>
      </c>
      <c r="R99" s="86">
        <v>3.4299717028501764E-2</v>
      </c>
      <c r="S99" s="86">
        <v>6.4699663922063042E-2</v>
      </c>
      <c r="T99" s="86">
        <v>7.1713716560063617E-2</v>
      </c>
      <c r="U99" s="86">
        <v>0.05</v>
      </c>
      <c r="V99" s="86">
        <v>2.2086305214969307E-2</v>
      </c>
      <c r="W99" s="86">
        <v>4.2163702135578386E-2</v>
      </c>
      <c r="X99" s="86">
        <v>5.6568542494923796E-2</v>
      </c>
      <c r="Y99" s="86">
        <v>2.1566554640687682E-2</v>
      </c>
      <c r="Z99" s="86">
        <v>4.7140452079103161E-2</v>
      </c>
      <c r="AA99" s="86">
        <v>0.2</v>
      </c>
      <c r="AB99" s="86">
        <v>3.6822984715932927E-2</v>
      </c>
      <c r="AC99" s="86">
        <v>8.1649658092772609E-2</v>
      </c>
      <c r="AD99" s="86">
        <v>5.1639777949432225E-2</v>
      </c>
      <c r="AE99" s="86">
        <v>2.4618298195866542E-2</v>
      </c>
      <c r="AF99" s="86">
        <v>0.13719886811400708</v>
      </c>
      <c r="AG99" s="86">
        <v>0.10783277320343843</v>
      </c>
    </row>
    <row r="100" spans="13:47" ht="13.5" thickBot="1"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R100" s="77" t="s">
        <v>384</v>
      </c>
      <c r="AS100" s="77"/>
      <c r="AT100" s="77"/>
      <c r="AU100"/>
    </row>
    <row r="101" spans="13:47" ht="13.5" thickTop="1">
      <c r="AS101" s="75">
        <v>1</v>
      </c>
      <c r="AT101" s="75">
        <v>2</v>
      </c>
    </row>
    <row r="102" spans="13:47">
      <c r="AR102" s="75" t="s">
        <v>370</v>
      </c>
      <c r="AS102" s="86">
        <v>0.18158763886409035</v>
      </c>
      <c r="AT102" s="86">
        <v>2.4203473741933632E-2</v>
      </c>
    </row>
    <row r="103" spans="13:47">
      <c r="AR103" s="75" t="s">
        <v>371</v>
      </c>
      <c r="AS103" s="86">
        <v>0.11898961892436122</v>
      </c>
      <c r="AT103" s="86">
        <v>3.657165408281312E-2</v>
      </c>
    </row>
    <row r="104" spans="13:47">
      <c r="AR104" s="75" t="s">
        <v>372</v>
      </c>
      <c r="AS104" s="86">
        <v>5.6189071577183773E-2</v>
      </c>
      <c r="AT104" s="86">
        <v>3.9817861643769277E-2</v>
      </c>
    </row>
    <row r="105" spans="13:47">
      <c r="AR105" s="75" t="s">
        <v>126</v>
      </c>
      <c r="AS105" s="86">
        <v>0.23136677443774309</v>
      </c>
      <c r="AT105" s="86">
        <v>5.3966305827857837E-2</v>
      </c>
    </row>
    <row r="106" spans="13:47">
      <c r="AR106" s="75" t="s">
        <v>339</v>
      </c>
      <c r="AS106" s="86">
        <v>0.15147741262626488</v>
      </c>
      <c r="AT106" s="86">
        <v>-5.0747678938519537E-2</v>
      </c>
    </row>
    <row r="107" spans="13:47">
      <c r="AR107" s="75" t="s">
        <v>340</v>
      </c>
      <c r="AS107" s="86">
        <v>0.19462606681108505</v>
      </c>
      <c r="AT107" s="86">
        <v>-6.4760864816374289E-2</v>
      </c>
    </row>
    <row r="108" spans="13:47">
      <c r="AR108" s="75" t="s">
        <v>341</v>
      </c>
      <c r="AS108" s="86">
        <v>6.5447679048308949E-2</v>
      </c>
      <c r="AT108" s="86">
        <v>-3.9089016059125715E-2</v>
      </c>
    </row>
    <row r="109" spans="13:47">
      <c r="AR109" s="85"/>
      <c r="AS109" s="85"/>
      <c r="AT109" s="85"/>
    </row>
    <row r="110" spans="13:47">
      <c r="AS110" s="86"/>
      <c r="AU110" s="86"/>
    </row>
    <row r="111" spans="13:47">
      <c r="AS111" s="86"/>
      <c r="AU111" s="86"/>
    </row>
    <row r="112" spans="13:47">
      <c r="AS112" s="86"/>
      <c r="AU112" s="86"/>
    </row>
    <row r="113" spans="44:47">
      <c r="AS113" s="86"/>
      <c r="AU113" s="86"/>
    </row>
    <row r="114" spans="44:47">
      <c r="AS114" s="86"/>
      <c r="AU114" s="86"/>
    </row>
    <row r="115" spans="44:47">
      <c r="AS115" s="86"/>
      <c r="AU115" s="86"/>
    </row>
    <row r="116" spans="44:47" ht="13.5" thickBot="1">
      <c r="AR116" s="77" t="s">
        <v>49</v>
      </c>
      <c r="AS116" s="77"/>
      <c r="AT116" s="77"/>
      <c r="AU116" s="98"/>
    </row>
    <row r="117" spans="44:47" ht="13.5" thickTop="1">
      <c r="AS117" s="75">
        <v>2</v>
      </c>
      <c r="AT117" s="75">
        <v>3</v>
      </c>
      <c r="AU117" s="86"/>
    </row>
    <row r="118" spans="44:47">
      <c r="AR118" s="75" t="s">
        <v>370</v>
      </c>
      <c r="AS118" s="86">
        <v>2.4203473741933632E-2</v>
      </c>
      <c r="AT118" s="86">
        <v>8.2495090763026625E-3</v>
      </c>
    </row>
    <row r="119" spans="44:47">
      <c r="AR119" s="75" t="s">
        <v>371</v>
      </c>
      <c r="AS119" s="86">
        <v>3.657165408281312E-2</v>
      </c>
      <c r="AT119" s="86">
        <v>8.3108405464330324E-3</v>
      </c>
    </row>
    <row r="120" spans="44:47">
      <c r="AR120" s="75" t="s">
        <v>372</v>
      </c>
      <c r="AS120" s="86">
        <v>3.9817861643769277E-2</v>
      </c>
      <c r="AT120" s="86">
        <v>-2.1547171781110985E-2</v>
      </c>
    </row>
    <row r="121" spans="44:47">
      <c r="AR121" s="75" t="s">
        <v>126</v>
      </c>
      <c r="AS121" s="86">
        <v>5.3966305827857837E-2</v>
      </c>
      <c r="AT121" s="86">
        <v>5.6584678865863871E-3</v>
      </c>
    </row>
    <row r="122" spans="44:47">
      <c r="AR122" s="75" t="s">
        <v>339</v>
      </c>
      <c r="AS122" s="86">
        <v>-5.0747678938519537E-2</v>
      </c>
      <c r="AT122" s="86">
        <v>1.0269855374432724E-2</v>
      </c>
    </row>
    <row r="123" spans="44:47">
      <c r="AR123" s="75" t="s">
        <v>340</v>
      </c>
      <c r="AS123" s="86">
        <v>-6.4760864816374289E-2</v>
      </c>
      <c r="AT123" s="86">
        <v>2.7130554947599316E-2</v>
      </c>
    </row>
    <row r="124" spans="44:47">
      <c r="AR124" s="75" t="s">
        <v>341</v>
      </c>
      <c r="AS124" s="86">
        <v>-3.9089016059125715E-2</v>
      </c>
      <c r="AT124" s="86">
        <v>-3.8029586005697009E-2</v>
      </c>
    </row>
    <row r="125" spans="44:47">
      <c r="AR125" s="85"/>
      <c r="AS125" s="99"/>
      <c r="AT125" s="85"/>
      <c r="AU125" s="99"/>
    </row>
    <row r="126" spans="44:47">
      <c r="AS126" s="86"/>
      <c r="AU126" s="86"/>
    </row>
    <row r="127" spans="44:47">
      <c r="AS127" s="86"/>
      <c r="AU127" s="86"/>
    </row>
    <row r="128" spans="44:47">
      <c r="AS128" s="86"/>
      <c r="AU128" s="86"/>
    </row>
    <row r="129" spans="44:47">
      <c r="AR129" s="82" t="s">
        <v>413</v>
      </c>
      <c r="AS129" s="97">
        <v>1.3227460845187699E-2</v>
      </c>
      <c r="AT129" s="97"/>
      <c r="AU129" s="97">
        <v>1.3270519665849691E-3</v>
      </c>
    </row>
    <row r="130" spans="44:47">
      <c r="AR130" s="82" t="s">
        <v>414</v>
      </c>
      <c r="AS130" s="97">
        <v>2.3897929345836059E-2</v>
      </c>
      <c r="AT130" s="97"/>
      <c r="AU130" s="97">
        <v>-6.9517861269411708E-3</v>
      </c>
    </row>
    <row r="131" spans="44:47">
      <c r="AR131" s="82" t="s">
        <v>415</v>
      </c>
      <c r="AS131" s="97">
        <v>3.5450102322718578E-2</v>
      </c>
      <c r="AT131" s="97"/>
      <c r="AU131" s="97">
        <v>-1.1581076922665795E-2</v>
      </c>
    </row>
    <row r="132" spans="44:47">
      <c r="AR132" s="82" t="s">
        <v>416</v>
      </c>
      <c r="AS132" s="97">
        <v>-1.8023076313519886E-2</v>
      </c>
      <c r="AT132" s="97"/>
      <c r="AU132" s="97">
        <v>1.8409756354118493E-3</v>
      </c>
    </row>
    <row r="133" spans="44:47">
      <c r="AR133" s="82" t="s">
        <v>417</v>
      </c>
      <c r="AS133" s="97">
        <v>-1.4489423415607267E-2</v>
      </c>
      <c r="AT133" s="97"/>
      <c r="AU133" s="97">
        <v>2.3460179710112435E-2</v>
      </c>
    </row>
    <row r="134" spans="44:47">
      <c r="AR134" s="82" t="s">
        <v>179</v>
      </c>
      <c r="AS134" s="97">
        <v>-1.095945712552277E-2</v>
      </c>
      <c r="AT134" s="97"/>
      <c r="AU134" s="97">
        <v>4.4381494902865056E-3</v>
      </c>
    </row>
    <row r="135" spans="44:47">
      <c r="AR135" s="82" t="s">
        <v>400</v>
      </c>
      <c r="AS135" s="97">
        <v>-9.7748693562774696E-3</v>
      </c>
      <c r="AT135" s="97"/>
      <c r="AU135" s="97">
        <v>1.4384326652465255E-3</v>
      </c>
    </row>
    <row r="136" spans="44:47">
      <c r="AR136" s="82" t="s">
        <v>14</v>
      </c>
      <c r="AS136" s="97">
        <v>-3.1599241883774479E-3</v>
      </c>
      <c r="AT136" s="97"/>
      <c r="AU136" s="97">
        <v>3.3739518646252247E-3</v>
      </c>
    </row>
    <row r="137" spans="44:47">
      <c r="AR137" s="82" t="s">
        <v>376</v>
      </c>
      <c r="AS137" s="97">
        <v>1.7869106504982357E-2</v>
      </c>
      <c r="AT137" s="97"/>
      <c r="AU137" s="97">
        <v>2.9395095339227665E-3</v>
      </c>
    </row>
    <row r="138" spans="44:47">
      <c r="AR138" s="82" t="s">
        <v>16</v>
      </c>
      <c r="AS138" s="97">
        <v>-5.4326838472468679E-3</v>
      </c>
      <c r="AT138" s="97"/>
      <c r="AU138" s="97">
        <v>9.577990696647198E-3</v>
      </c>
    </row>
    <row r="139" spans="44:47">
      <c r="AR139" s="82" t="s">
        <v>377</v>
      </c>
      <c r="AS139" s="97">
        <v>3.3418834657507547E-3</v>
      </c>
      <c r="AT139" s="97"/>
      <c r="AU139" s="97">
        <v>-4.0419156149894553E-3</v>
      </c>
    </row>
    <row r="140" spans="44:47">
      <c r="AR140" s="82" t="s">
        <v>272</v>
      </c>
      <c r="AS140" s="97">
        <v>1.5319450115064876E-2</v>
      </c>
      <c r="AT140" s="97"/>
      <c r="AU140" s="97">
        <v>4.3657889779473184E-3</v>
      </c>
    </row>
    <row r="141" spans="44:47">
      <c r="AR141" s="82" t="s">
        <v>221</v>
      </c>
      <c r="AS141" s="97">
        <v>2.7884697693600778E-3</v>
      </c>
      <c r="AT141" s="97"/>
      <c r="AU141" s="97">
        <v>1.8641095524080872E-3</v>
      </c>
    </row>
    <row r="142" spans="44:47">
      <c r="AR142" s="82" t="s">
        <v>181</v>
      </c>
      <c r="AS142" s="97">
        <v>-3.4576158884959768E-2</v>
      </c>
      <c r="AT142" s="97"/>
      <c r="AU142" s="97">
        <v>-1.7774258361406246E-2</v>
      </c>
    </row>
    <row r="143" spans="44:47">
      <c r="AR143" s="82" t="s">
        <v>182</v>
      </c>
      <c r="AS143" s="97">
        <v>9.5772237505272536E-4</v>
      </c>
      <c r="AT143" s="97"/>
      <c r="AU143" s="97">
        <v>1.3194712116904523E-2</v>
      </c>
    </row>
    <row r="144" spans="44:47">
      <c r="AR144" s="82" t="s">
        <v>156</v>
      </c>
      <c r="AS144" s="97">
        <v>-7.3202789479213425E-3</v>
      </c>
      <c r="AT144" s="97"/>
      <c r="AU144" s="97">
        <v>-4.1665663738665107E-3</v>
      </c>
    </row>
    <row r="145" spans="44:47">
      <c r="AR145" s="82" t="s">
        <v>157</v>
      </c>
      <c r="AS145" s="97">
        <v>2.4181578063698209E-3</v>
      </c>
      <c r="AT145" s="97"/>
      <c r="AU145" s="97">
        <v>-2.1344031574830756E-3</v>
      </c>
    </row>
    <row r="146" spans="44:47">
      <c r="AR146" s="82" t="s">
        <v>10</v>
      </c>
      <c r="AS146" s="97">
        <v>1.9245904354877885E-2</v>
      </c>
      <c r="AT146" s="97"/>
      <c r="AU146" s="97">
        <v>-4.0127055962436171E-3</v>
      </c>
    </row>
    <row r="147" spans="44:47">
      <c r="AR147" s="82" t="s">
        <v>158</v>
      </c>
      <c r="AS147" s="97">
        <v>-2.7851090463634647E-3</v>
      </c>
      <c r="AT147" s="97"/>
      <c r="AU147" s="97">
        <v>-1.6370404562500575E-2</v>
      </c>
    </row>
    <row r="148" spans="44:47">
      <c r="AR148" s="82" t="s">
        <v>11</v>
      </c>
      <c r="AS148" s="97">
        <v>-2.8107073119591441E-2</v>
      </c>
      <c r="AT148" s="97"/>
      <c r="AU148" s="97">
        <v>-5.6389870551004086E-4</v>
      </c>
    </row>
  </sheetData>
  <mergeCells count="7">
    <mergeCell ref="AJ82:AL82"/>
    <mergeCell ref="AS20:AU20"/>
    <mergeCell ref="AS21:AU21"/>
    <mergeCell ref="AW21:AY21"/>
    <mergeCell ref="AS73:AU73"/>
    <mergeCell ref="AJ31:AL31"/>
    <mergeCell ref="AJ56:AL56"/>
  </mergeCells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M67"/>
  <sheetViews>
    <sheetView topLeftCell="S1" workbookViewId="0">
      <selection activeCell="Y7" sqref="Y7"/>
    </sheetView>
  </sheetViews>
  <sheetFormatPr defaultRowHeight="12.75"/>
  <cols>
    <col min="1" max="7" width="11" customWidth="1"/>
    <col min="8" max="10" width="11.25" customWidth="1"/>
    <col min="11" max="11" width="11" customWidth="1"/>
    <col min="12" max="12" width="12.375" customWidth="1"/>
    <col min="13" max="23" width="11" customWidth="1"/>
    <col min="24" max="24" width="12.375" customWidth="1"/>
    <col min="25" max="25" width="10.875" customWidth="1"/>
    <col min="26" max="26" width="11.25" customWidth="1"/>
    <col min="27" max="33" width="10.875" customWidth="1"/>
    <col min="34" max="34" width="11.25" customWidth="1"/>
    <col min="35" max="42" width="10.875" customWidth="1"/>
    <col min="43" max="43" width="11.25" customWidth="1"/>
    <col min="44" max="44" width="10.875" customWidth="1"/>
    <col min="45" max="256" width="11" customWidth="1"/>
  </cols>
  <sheetData>
    <row r="1" spans="1:39" ht="15">
      <c r="A1" s="57" t="s">
        <v>50</v>
      </c>
    </row>
    <row r="4" spans="1:39" ht="13.5" thickBot="1">
      <c r="B4" s="24" t="s">
        <v>322</v>
      </c>
      <c r="C4" s="10"/>
      <c r="D4" s="11"/>
      <c r="E4" s="10"/>
      <c r="G4" s="10" t="s">
        <v>266</v>
      </c>
      <c r="H4" s="10"/>
      <c r="I4" s="10"/>
      <c r="J4" s="10"/>
      <c r="L4" s="10" t="s">
        <v>273</v>
      </c>
      <c r="M4" s="10"/>
      <c r="N4" s="10"/>
      <c r="O4" s="10"/>
      <c r="P4" s="10"/>
      <c r="Q4" s="10"/>
      <c r="R4" s="10"/>
      <c r="S4" s="10"/>
      <c r="T4" s="10"/>
      <c r="U4" s="10"/>
      <c r="V4" s="10"/>
      <c r="X4" s="10" t="s">
        <v>54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J4" s="10" t="s">
        <v>462</v>
      </c>
      <c r="AK4" s="10"/>
      <c r="AL4" s="10"/>
      <c r="AM4" s="10"/>
    </row>
    <row r="5" spans="1:39" ht="13.5" thickTop="1">
      <c r="C5" s="1" t="s">
        <v>20</v>
      </c>
      <c r="D5" s="1" t="s">
        <v>12</v>
      </c>
      <c r="E5" s="1" t="s">
        <v>12</v>
      </c>
      <c r="H5" s="58" t="str">
        <f>B7</f>
        <v>Acaste</v>
      </c>
      <c r="I5" s="58" t="str">
        <f>B8</f>
        <v>Balizoma</v>
      </c>
      <c r="J5" s="58" t="str">
        <f>B9</f>
        <v>Calymene</v>
      </c>
      <c r="M5" s="58" t="s">
        <v>413</v>
      </c>
      <c r="N5" s="58" t="s">
        <v>414</v>
      </c>
      <c r="O5" s="58" t="s">
        <v>415</v>
      </c>
      <c r="P5" s="58" t="s">
        <v>416</v>
      </c>
      <c r="Q5" s="58" t="s">
        <v>417</v>
      </c>
      <c r="R5" s="58" t="s">
        <v>179</v>
      </c>
      <c r="S5" s="58" t="s">
        <v>400</v>
      </c>
      <c r="T5" s="58" t="s">
        <v>14</v>
      </c>
      <c r="U5" s="58" t="s">
        <v>376</v>
      </c>
      <c r="V5" s="58" t="s">
        <v>16</v>
      </c>
      <c r="Y5" s="58" t="s">
        <v>413</v>
      </c>
      <c r="Z5" s="58" t="s">
        <v>414</v>
      </c>
      <c r="AA5" s="58" t="s">
        <v>415</v>
      </c>
      <c r="AB5" s="58" t="s">
        <v>416</v>
      </c>
      <c r="AC5" s="58" t="s">
        <v>417</v>
      </c>
      <c r="AD5" s="58" t="s">
        <v>179</v>
      </c>
      <c r="AE5" s="58" t="s">
        <v>400</v>
      </c>
      <c r="AF5" s="58" t="s">
        <v>14</v>
      </c>
      <c r="AG5" s="58" t="s">
        <v>376</v>
      </c>
      <c r="AH5" s="58" t="s">
        <v>16</v>
      </c>
      <c r="AJ5" s="1" t="s">
        <v>463</v>
      </c>
      <c r="AK5" s="1" t="s">
        <v>348</v>
      </c>
      <c r="AL5" s="1" t="s">
        <v>464</v>
      </c>
      <c r="AM5" s="1" t="s">
        <v>465</v>
      </c>
    </row>
    <row r="6" spans="1:39">
      <c r="B6" s="30" t="s">
        <v>444</v>
      </c>
      <c r="C6" s="29" t="s">
        <v>173</v>
      </c>
      <c r="D6" s="29" t="s">
        <v>173</v>
      </c>
      <c r="E6" s="29" t="s">
        <v>174</v>
      </c>
      <c r="G6" s="5" t="str">
        <f>B7</f>
        <v>Acaste</v>
      </c>
      <c r="H6" s="38">
        <f>((C7-C7)^2)+((D7-D7)^2)+((E7-E7)^2)</f>
        <v>0</v>
      </c>
      <c r="I6" s="38">
        <f>H7</f>
        <v>78.109400000000008</v>
      </c>
      <c r="J6" s="38">
        <f>H8</f>
        <v>918.31309999999985</v>
      </c>
      <c r="L6" s="5" t="s">
        <v>413</v>
      </c>
      <c r="M6" s="14">
        <v>0</v>
      </c>
      <c r="N6" s="14">
        <v>78.109399999999994</v>
      </c>
      <c r="O6" s="14">
        <v>918.31309999999905</v>
      </c>
      <c r="P6" s="14">
        <v>6.7664999999999997</v>
      </c>
      <c r="Q6" s="14">
        <v>177.50449999999901</v>
      </c>
      <c r="R6" s="14">
        <v>288.56029999999998</v>
      </c>
      <c r="S6" s="14">
        <v>21.553799999999899</v>
      </c>
      <c r="T6" s="14">
        <v>125.781799999999</v>
      </c>
      <c r="U6" s="14">
        <v>40.922899999999998</v>
      </c>
      <c r="V6" s="14">
        <v>88.413399999999896</v>
      </c>
      <c r="X6" s="5" t="s">
        <v>413</v>
      </c>
      <c r="Y6" s="14">
        <v>232.64372750000001</v>
      </c>
      <c r="Z6" s="14">
        <v>343.62672750000002</v>
      </c>
      <c r="AA6" s="14">
        <v>-220.45517249999901</v>
      </c>
      <c r="AB6" s="14">
        <v>245.66037750000001</v>
      </c>
      <c r="AC6" s="14">
        <v>42.513782500000197</v>
      </c>
      <c r="AD6" s="14">
        <v>-25.196142499999802</v>
      </c>
      <c r="AE6" s="14">
        <v>173.82027249999999</v>
      </c>
      <c r="AF6" s="14">
        <v>63.448012500000203</v>
      </c>
      <c r="AG6" s="14">
        <v>202.67802750000001</v>
      </c>
      <c r="AH6" s="14">
        <v>341.80320749999998</v>
      </c>
      <c r="AJ6" s="1">
        <v>1</v>
      </c>
      <c r="AK6" s="59">
        <v>7278.44</v>
      </c>
      <c r="AL6" s="18">
        <f>(AK6/AK$10)*100</f>
        <v>97.601099803227271</v>
      </c>
      <c r="AM6" s="18">
        <f>AL6</f>
        <v>97.601099803227271</v>
      </c>
    </row>
    <row r="7" spans="1:39">
      <c r="A7">
        <v>1</v>
      </c>
      <c r="B7" s="5" t="s">
        <v>413</v>
      </c>
      <c r="C7" s="3">
        <v>23.14</v>
      </c>
      <c r="D7" s="3">
        <v>3.5</v>
      </c>
      <c r="E7" s="3">
        <v>3.77</v>
      </c>
      <c r="F7" s="14"/>
      <c r="G7" s="5" t="str">
        <f>B8</f>
        <v>Balizoma</v>
      </c>
      <c r="H7" s="38">
        <f>((C7-C8)^2)+((D7-D8)^2)+((E7-E8)^2)</f>
        <v>78.109400000000008</v>
      </c>
      <c r="I7" s="38">
        <f>((C8-C8)^2)+((D8-D8)^2)+((E8-E8)^2)</f>
        <v>0</v>
      </c>
      <c r="J7" s="38">
        <f>I8</f>
        <v>1488.7701</v>
      </c>
      <c r="L7" s="5" t="s">
        <v>414</v>
      </c>
      <c r="M7" s="14">
        <v>78.109399999999994</v>
      </c>
      <c r="N7" s="14">
        <v>0</v>
      </c>
      <c r="O7" s="14">
        <v>1488.7701</v>
      </c>
      <c r="P7" s="14">
        <v>47.8858999999999</v>
      </c>
      <c r="Q7" s="14">
        <v>396.66689999999898</v>
      </c>
      <c r="R7" s="14">
        <v>596.50490000000002</v>
      </c>
      <c r="S7" s="14">
        <v>130.16539999999901</v>
      </c>
      <c r="T7" s="14">
        <v>370.492199999999</v>
      </c>
      <c r="U7" s="14">
        <v>89.107499999999902</v>
      </c>
      <c r="V7" s="14">
        <v>1.38479999999999</v>
      </c>
      <c r="X7" s="5" t="s">
        <v>414</v>
      </c>
      <c r="Y7" s="14">
        <v>343.62672750000002</v>
      </c>
      <c r="Z7" s="14">
        <v>532.71912750000001</v>
      </c>
      <c r="AA7" s="14">
        <v>-355.645972499999</v>
      </c>
      <c r="AB7" s="14">
        <v>375.13837749999999</v>
      </c>
      <c r="AC7" s="14">
        <v>82.970282500000195</v>
      </c>
      <c r="AD7" s="14">
        <v>-29.130742499999698</v>
      </c>
      <c r="AE7" s="14">
        <v>269.55217249999998</v>
      </c>
      <c r="AF7" s="14">
        <v>91.130512500000293</v>
      </c>
      <c r="AG7" s="14">
        <v>328.62342749999999</v>
      </c>
      <c r="AH7" s="14">
        <v>535.35520750000001</v>
      </c>
      <c r="AJ7" s="1">
        <v>2</v>
      </c>
      <c r="AK7">
        <v>141.67699999999999</v>
      </c>
      <c r="AL7" s="18">
        <f>(AK7/AK$10)*100</f>
        <v>1.8998344448565667</v>
      </c>
      <c r="AM7" s="18">
        <f>AM6+AL7</f>
        <v>99.500934248083837</v>
      </c>
    </row>
    <row r="8" spans="1:39">
      <c r="A8">
        <v>2</v>
      </c>
      <c r="B8" s="5" t="s">
        <v>414</v>
      </c>
      <c r="C8" s="3">
        <v>14.32</v>
      </c>
      <c r="D8" s="3">
        <v>3.97</v>
      </c>
      <c r="E8" s="3">
        <v>4.08</v>
      </c>
      <c r="F8" s="14"/>
      <c r="G8" s="5" t="str">
        <f>B9</f>
        <v>Calymene</v>
      </c>
      <c r="H8" s="38">
        <f>((C7-C9)^2)+((D7-D9)^2)+((E7-E9)^2)</f>
        <v>918.31309999999985</v>
      </c>
      <c r="I8" s="38">
        <f>((C8-C9)^2)+((D8-D9)^2)+((E8-E9)^2)</f>
        <v>1488.7701</v>
      </c>
      <c r="J8" s="38">
        <f>((C9-C9)^2)+((D9-D9)^2)+((E9-E9)^2)</f>
        <v>0</v>
      </c>
      <c r="L8" s="5" t="s">
        <v>415</v>
      </c>
      <c r="M8" s="14">
        <v>918.31309999999905</v>
      </c>
      <c r="N8" s="14">
        <v>1488.7701</v>
      </c>
      <c r="O8" s="14">
        <v>0</v>
      </c>
      <c r="P8" s="14">
        <v>1005.1726</v>
      </c>
      <c r="Q8" s="14">
        <v>402.43099999999902</v>
      </c>
      <c r="R8" s="14">
        <v>221.99239999999901</v>
      </c>
      <c r="S8" s="14">
        <v>741.152099999999</v>
      </c>
      <c r="T8" s="14">
        <v>379.46969999999902</v>
      </c>
      <c r="U8" s="14">
        <v>911.65859999999896</v>
      </c>
      <c r="V8" s="14">
        <v>1504.87489999999</v>
      </c>
      <c r="X8" s="5" t="s">
        <v>415</v>
      </c>
      <c r="Y8" s="14">
        <v>-220.45517249999901</v>
      </c>
      <c r="Z8" s="14">
        <v>-355.645972499999</v>
      </c>
      <c r="AA8" s="14">
        <v>244.7590275</v>
      </c>
      <c r="AB8" s="14">
        <v>-247.48502249999899</v>
      </c>
      <c r="AC8" s="14">
        <v>-63.891817499999803</v>
      </c>
      <c r="AD8" s="14">
        <v>14.1454575000002</v>
      </c>
      <c r="AE8" s="14">
        <v>-179.92122749999899</v>
      </c>
      <c r="AF8" s="14">
        <v>-57.338287499999701</v>
      </c>
      <c r="AG8" s="14">
        <v>-226.632172499999</v>
      </c>
      <c r="AH8" s="14">
        <v>-360.36989249999903</v>
      </c>
      <c r="AJ8" s="1">
        <v>3</v>
      </c>
      <c r="AK8">
        <v>37.216999999999999</v>
      </c>
      <c r="AL8" s="18">
        <f>(AK8/AK$10)*100</f>
        <v>0.49906575191616742</v>
      </c>
      <c r="AM8" s="18">
        <f>AM7+AL8</f>
        <v>100</v>
      </c>
    </row>
    <row r="9" spans="1:39">
      <c r="A9">
        <v>3</v>
      </c>
      <c r="B9" s="5" t="s">
        <v>415</v>
      </c>
      <c r="C9" s="3">
        <v>51.69</v>
      </c>
      <c r="D9" s="3">
        <v>10.91</v>
      </c>
      <c r="E9" s="3">
        <v>10.72</v>
      </c>
      <c r="F9" s="14"/>
      <c r="L9" s="5" t="s">
        <v>416</v>
      </c>
      <c r="M9" s="14">
        <v>6.7664999999999997</v>
      </c>
      <c r="N9" s="14">
        <v>47.8858999999999</v>
      </c>
      <c r="O9" s="14">
        <v>1005.1726</v>
      </c>
      <c r="P9" s="14">
        <v>0</v>
      </c>
      <c r="Q9" s="14">
        <v>186.829399999999</v>
      </c>
      <c r="R9" s="14">
        <v>316.1062</v>
      </c>
      <c r="S9" s="14">
        <v>22.5548999999999</v>
      </c>
      <c r="T9" s="14">
        <v>153.3741</v>
      </c>
      <c r="U9" s="14">
        <v>23.1783999999999</v>
      </c>
      <c r="V9" s="14">
        <v>52.992299999999901</v>
      </c>
      <c r="X9" s="5" t="s">
        <v>416</v>
      </c>
      <c r="Y9" s="14">
        <v>245.66037750000001</v>
      </c>
      <c r="Z9" s="14">
        <v>375.13837749999999</v>
      </c>
      <c r="AA9" s="14">
        <v>-247.48502249999899</v>
      </c>
      <c r="AB9" s="14">
        <v>265.44352750000002</v>
      </c>
      <c r="AC9" s="14">
        <v>54.251232500000199</v>
      </c>
      <c r="AD9" s="14">
        <v>-22.569192499999701</v>
      </c>
      <c r="AE9" s="14">
        <v>189.71962250000001</v>
      </c>
      <c r="AF9" s="14">
        <v>66.051762500000194</v>
      </c>
      <c r="AG9" s="14">
        <v>227.9501775</v>
      </c>
      <c r="AH9" s="14">
        <v>375.9136575</v>
      </c>
    </row>
    <row r="10" spans="1:39">
      <c r="A10">
        <v>4</v>
      </c>
      <c r="B10" s="5" t="s">
        <v>416</v>
      </c>
      <c r="C10" s="3">
        <v>21.15</v>
      </c>
      <c r="D10" s="3">
        <v>4.9000000000000004</v>
      </c>
      <c r="E10" s="3">
        <v>4.6900000000000004</v>
      </c>
      <c r="L10" s="5" t="s">
        <v>417</v>
      </c>
      <c r="M10" s="14">
        <v>177.50449999999901</v>
      </c>
      <c r="N10" s="14">
        <v>396.66689999999898</v>
      </c>
      <c r="O10" s="14">
        <v>402.43099999999902</v>
      </c>
      <c r="P10" s="14">
        <v>186.829399999999</v>
      </c>
      <c r="Q10" s="14">
        <v>0</v>
      </c>
      <c r="R10" s="14">
        <v>33.825400000000002</v>
      </c>
      <c r="S10" s="14">
        <v>80.425699999999907</v>
      </c>
      <c r="T10" s="14">
        <v>38.533899999999903</v>
      </c>
      <c r="U10" s="14">
        <v>114.023</v>
      </c>
      <c r="V10" s="14">
        <v>397.84249999999997</v>
      </c>
      <c r="X10" s="5" t="s">
        <v>417</v>
      </c>
      <c r="Y10" s="14">
        <v>42.513782500000197</v>
      </c>
      <c r="Z10" s="14">
        <v>82.970282500000195</v>
      </c>
      <c r="AA10" s="14">
        <v>-63.891817499999803</v>
      </c>
      <c r="AB10" s="14">
        <v>54.251232500000199</v>
      </c>
      <c r="AC10" s="14">
        <v>29.888337500000201</v>
      </c>
      <c r="AD10" s="14">
        <v>0.79361250000029304</v>
      </c>
      <c r="AE10" s="14">
        <v>43.006627500000199</v>
      </c>
      <c r="AF10" s="14">
        <v>5.6942675000002003</v>
      </c>
      <c r="AG10" s="14">
        <v>64.750282500000196</v>
      </c>
      <c r="AH10" s="14">
        <v>85.710962500000093</v>
      </c>
      <c r="AJ10" s="25" t="s">
        <v>357</v>
      </c>
      <c r="AK10" s="60">
        <f>SUM(AK6:AK9)</f>
        <v>7457.3339999999989</v>
      </c>
      <c r="AL10" s="22"/>
      <c r="AM10" s="22"/>
    </row>
    <row r="11" spans="1:39" ht="13.5" thickBot="1">
      <c r="A11">
        <v>5</v>
      </c>
      <c r="B11" s="5" t="s">
        <v>417</v>
      </c>
      <c r="C11" s="3">
        <f>21.16+(21.16/2)</f>
        <v>31.740000000000002</v>
      </c>
      <c r="D11" s="3">
        <v>9.33</v>
      </c>
      <c r="E11" s="3">
        <v>12.11</v>
      </c>
      <c r="G11" s="10" t="s">
        <v>94</v>
      </c>
      <c r="H11" s="10"/>
      <c r="I11" s="10"/>
      <c r="J11" s="10"/>
      <c r="L11" s="5" t="s">
        <v>179</v>
      </c>
      <c r="M11" s="14">
        <v>288.56029999999998</v>
      </c>
      <c r="N11" s="14">
        <v>596.50490000000002</v>
      </c>
      <c r="O11" s="14">
        <v>221.99239999999901</v>
      </c>
      <c r="P11" s="14">
        <v>316.1062</v>
      </c>
      <c r="Q11" s="14">
        <v>33.825400000000002</v>
      </c>
      <c r="R11" s="14">
        <v>0</v>
      </c>
      <c r="S11" s="14">
        <v>171.84809999999999</v>
      </c>
      <c r="T11" s="14">
        <v>39.566899999999997</v>
      </c>
      <c r="U11" s="14">
        <v>245.81299999999999</v>
      </c>
      <c r="V11" s="14">
        <v>598.9049</v>
      </c>
      <c r="X11" s="5" t="s">
        <v>179</v>
      </c>
      <c r="Y11" s="14">
        <v>-25.196142499999802</v>
      </c>
      <c r="Z11" s="14">
        <v>-29.130742499999698</v>
      </c>
      <c r="AA11" s="14">
        <v>14.1454575000002</v>
      </c>
      <c r="AB11" s="14">
        <v>-22.569192499999701</v>
      </c>
      <c r="AC11" s="14">
        <v>0.79361250000029304</v>
      </c>
      <c r="AD11" s="14">
        <v>5.5242875000002902</v>
      </c>
      <c r="AE11" s="14">
        <v>-14.8865974999997</v>
      </c>
      <c r="AF11" s="14">
        <v>-7.00425749999975</v>
      </c>
      <c r="AG11" s="14">
        <v>-13.3267424999997</v>
      </c>
      <c r="AH11" s="14">
        <v>-27.002262499999802</v>
      </c>
    </row>
    <row r="12" spans="1:39" ht="13.5" thickTop="1">
      <c r="A12">
        <v>6</v>
      </c>
      <c r="B12" s="5" t="s">
        <v>179</v>
      </c>
      <c r="C12" s="3">
        <v>36.81</v>
      </c>
      <c r="D12" s="3">
        <v>11.35</v>
      </c>
      <c r="E12" s="3">
        <v>10.1</v>
      </c>
      <c r="H12" s="58" t="str">
        <f>B7</f>
        <v>Acaste</v>
      </c>
      <c r="I12" s="58" t="str">
        <f>B8</f>
        <v>Balizoma</v>
      </c>
      <c r="J12" s="58" t="str">
        <f>B9</f>
        <v>Calymene</v>
      </c>
      <c r="L12" s="5" t="s">
        <v>400</v>
      </c>
      <c r="M12" s="14">
        <v>21.553799999999899</v>
      </c>
      <c r="N12" s="14">
        <v>130.16539999999901</v>
      </c>
      <c r="O12" s="14">
        <v>741.152099999999</v>
      </c>
      <c r="P12" s="14">
        <v>22.5548999999999</v>
      </c>
      <c r="Q12" s="14">
        <v>80.425699999999907</v>
      </c>
      <c r="R12" s="14">
        <v>171.84809999999999</v>
      </c>
      <c r="S12" s="14">
        <v>0</v>
      </c>
      <c r="T12" s="14">
        <v>65.657799999999995</v>
      </c>
      <c r="U12" s="14">
        <v>16.1433</v>
      </c>
      <c r="V12" s="14">
        <v>134.51299999999901</v>
      </c>
      <c r="X12" s="5" t="s">
        <v>400</v>
      </c>
      <c r="Y12" s="14">
        <v>173.82027249999999</v>
      </c>
      <c r="Z12" s="14">
        <v>269.55217249999998</v>
      </c>
      <c r="AA12" s="14">
        <v>-179.92122749999899</v>
      </c>
      <c r="AB12" s="14">
        <v>189.71962250000001</v>
      </c>
      <c r="AC12" s="14">
        <v>43.006627500000199</v>
      </c>
      <c r="AD12" s="14">
        <v>-14.8865974999997</v>
      </c>
      <c r="AE12" s="14">
        <v>136.55061749999999</v>
      </c>
      <c r="AF12" s="14">
        <v>45.463457500000203</v>
      </c>
      <c r="AG12" s="14">
        <v>167.02127250000001</v>
      </c>
      <c r="AH12" s="14">
        <v>270.70685250000002</v>
      </c>
    </row>
    <row r="13" spans="1:39" ht="13.5" thickBot="1">
      <c r="A13">
        <v>7</v>
      </c>
      <c r="B13" s="5" t="s">
        <v>400</v>
      </c>
      <c r="C13" s="3">
        <f>16.75+(16.75/2)</f>
        <v>25.125</v>
      </c>
      <c r="D13" s="3">
        <v>6.39</v>
      </c>
      <c r="E13" s="3">
        <v>6.81</v>
      </c>
      <c r="G13" s="5" t="str">
        <f>B7</f>
        <v>Acaste</v>
      </c>
      <c r="H13" s="38">
        <f>(((ABS(C7-C7))/C31)+((ABS(D7-D7))/D31)+((ABS(E7-E7))/E31))/3</f>
        <v>0</v>
      </c>
      <c r="I13" s="38">
        <f>H14</f>
        <v>5.2696926926624255E-2</v>
      </c>
      <c r="J13" s="38">
        <f>H15</f>
        <v>0.38198970650210223</v>
      </c>
      <c r="L13" s="5" t="s">
        <v>14</v>
      </c>
      <c r="M13" s="14">
        <v>125.781799999999</v>
      </c>
      <c r="N13" s="14">
        <v>370.492199999999</v>
      </c>
      <c r="O13" s="14">
        <v>379.46969999999902</v>
      </c>
      <c r="P13" s="14">
        <v>153.3741</v>
      </c>
      <c r="Q13" s="14">
        <v>38.533899999999903</v>
      </c>
      <c r="R13" s="14">
        <v>39.566899999999997</v>
      </c>
      <c r="S13" s="14">
        <v>65.657799999999995</v>
      </c>
      <c r="T13" s="14">
        <v>0</v>
      </c>
      <c r="U13" s="14">
        <v>134.61089999999999</v>
      </c>
      <c r="V13" s="14">
        <v>377.69499999999903</v>
      </c>
      <c r="X13" s="5" t="s">
        <v>14</v>
      </c>
      <c r="Y13" s="14">
        <v>63.448012500000203</v>
      </c>
      <c r="Z13" s="14">
        <v>91.130512500000293</v>
      </c>
      <c r="AA13" s="14">
        <v>-57.338287499999701</v>
      </c>
      <c r="AB13" s="14">
        <v>66.051762500000194</v>
      </c>
      <c r="AC13" s="14">
        <v>5.6942675000002003</v>
      </c>
      <c r="AD13" s="14">
        <v>-7.00425749999975</v>
      </c>
      <c r="AE13" s="14">
        <v>45.463457500000203</v>
      </c>
      <c r="AF13" s="14">
        <v>20.0340975000002</v>
      </c>
      <c r="AG13" s="14">
        <v>49.529212500000199</v>
      </c>
      <c r="AH13" s="14">
        <v>90.857592500000095</v>
      </c>
      <c r="AJ13" s="10" t="s">
        <v>270</v>
      </c>
      <c r="AK13" s="10"/>
      <c r="AL13" s="10"/>
      <c r="AM13" s="10"/>
    </row>
    <row r="14" spans="1:39" ht="13.5" thickTop="1">
      <c r="A14">
        <v>8</v>
      </c>
      <c r="B14" s="5" t="s">
        <v>14</v>
      </c>
      <c r="C14" s="3">
        <v>32.93</v>
      </c>
      <c r="D14" s="3">
        <v>8.4600000000000009</v>
      </c>
      <c r="E14" s="3">
        <v>6.08</v>
      </c>
      <c r="G14" s="5" t="str">
        <f>B8</f>
        <v>Balizoma</v>
      </c>
      <c r="H14" s="38">
        <f>(((ABS(C7-C8))/C31)+((ABS(D7-D8))/D31)+((ABS(E7-E8))/E31))/3</f>
        <v>5.2696926926624255E-2</v>
      </c>
      <c r="I14" s="38">
        <f>(((ABS(C8-C8))/C31)+((ABS(D8-D8))/D31)+((ABS(E8-E8))/E31))/3</f>
        <v>0</v>
      </c>
      <c r="J14" s="38">
        <f>I15</f>
        <v>0.40712203172637146</v>
      </c>
      <c r="L14" s="5" t="s">
        <v>376</v>
      </c>
      <c r="M14" s="14">
        <v>40.922899999999998</v>
      </c>
      <c r="N14" s="14">
        <v>89.107499999999902</v>
      </c>
      <c r="O14" s="14">
        <v>911.65859999999896</v>
      </c>
      <c r="P14" s="14">
        <v>23.1783999999999</v>
      </c>
      <c r="Q14" s="14">
        <v>114.023</v>
      </c>
      <c r="R14" s="14">
        <v>245.81299999999999</v>
      </c>
      <c r="S14" s="14">
        <v>16.1433</v>
      </c>
      <c r="T14" s="14">
        <v>134.61089999999999</v>
      </c>
      <c r="U14" s="14">
        <v>0</v>
      </c>
      <c r="V14" s="14">
        <v>88.265899999999903</v>
      </c>
      <c r="X14" s="5" t="s">
        <v>376</v>
      </c>
      <c r="Y14" s="14">
        <v>202.67802750000001</v>
      </c>
      <c r="Z14" s="14">
        <v>328.62342749999999</v>
      </c>
      <c r="AA14" s="14">
        <v>-226.632172499999</v>
      </c>
      <c r="AB14" s="14">
        <v>227.9501775</v>
      </c>
      <c r="AC14" s="14">
        <v>64.750282500000196</v>
      </c>
      <c r="AD14" s="14">
        <v>-13.3267424999997</v>
      </c>
      <c r="AE14" s="14">
        <v>167.02127250000001</v>
      </c>
      <c r="AF14" s="14">
        <v>49.529212500000199</v>
      </c>
      <c r="AG14" s="14">
        <v>213.63522750000001</v>
      </c>
      <c r="AH14" s="14">
        <v>332.37270749999999</v>
      </c>
      <c r="AK14" s="29" t="s">
        <v>267</v>
      </c>
      <c r="AL14" s="29" t="s">
        <v>268</v>
      </c>
      <c r="AM14" s="29" t="s">
        <v>269</v>
      </c>
    </row>
    <row r="15" spans="1:39">
      <c r="A15">
        <v>9</v>
      </c>
      <c r="B15" s="5" t="s">
        <v>376</v>
      </c>
      <c r="C15" s="3">
        <v>21.81</v>
      </c>
      <c r="D15" s="3">
        <v>6.92</v>
      </c>
      <c r="E15" s="3">
        <v>9.01</v>
      </c>
      <c r="G15" s="5" t="str">
        <f>B9</f>
        <v>Calymene</v>
      </c>
      <c r="H15" s="38">
        <f>(((ABS(C7-C9))/C31)+((ABS(D7-D9))/D31)+((ABS(E7-E9))/E31))/3</f>
        <v>0.38198970650210223</v>
      </c>
      <c r="I15" s="38">
        <f>(((ABS(C8-C9))/C31)+((ABS(D8-D9))/D31)+((ABS(E8-E9))/E31))/3</f>
        <v>0.40712203172637146</v>
      </c>
      <c r="J15" s="38">
        <f>(((ABS(C9-C9))/C31)+((ABS(D9-D9))/D31)+((ABS(E9-E9))/E31))/3</f>
        <v>0</v>
      </c>
      <c r="L15" s="5" t="s">
        <v>16</v>
      </c>
      <c r="M15" s="14">
        <v>88.413399999999896</v>
      </c>
      <c r="N15" s="14">
        <v>1.38479999999999</v>
      </c>
      <c r="O15" s="14">
        <v>1504.87489999999</v>
      </c>
      <c r="P15" s="14">
        <v>52.992299999999901</v>
      </c>
      <c r="Q15" s="14">
        <v>397.84249999999997</v>
      </c>
      <c r="R15" s="14">
        <v>598.9049</v>
      </c>
      <c r="S15" s="14">
        <v>134.51299999999901</v>
      </c>
      <c r="T15" s="14">
        <v>377.69499999999903</v>
      </c>
      <c r="U15" s="14">
        <v>88.265899999999903</v>
      </c>
      <c r="V15" s="14">
        <v>0</v>
      </c>
      <c r="X15" s="5" t="s">
        <v>16</v>
      </c>
      <c r="Y15" s="14">
        <v>341.80320749999998</v>
      </c>
      <c r="Z15" s="14">
        <v>535.35520750000001</v>
      </c>
      <c r="AA15" s="14">
        <v>-360.36989249999903</v>
      </c>
      <c r="AB15" s="14">
        <v>375.9136575</v>
      </c>
      <c r="AC15" s="14">
        <v>85.710962500000093</v>
      </c>
      <c r="AD15" s="14">
        <v>-27.002262499999802</v>
      </c>
      <c r="AE15" s="14">
        <v>270.70685250000002</v>
      </c>
      <c r="AF15" s="14">
        <v>90.857592500000095</v>
      </c>
      <c r="AG15" s="14">
        <v>332.37270749999999</v>
      </c>
      <c r="AH15" s="14">
        <v>539.37608750000004</v>
      </c>
      <c r="AJ15" s="5" t="s">
        <v>413</v>
      </c>
      <c r="AK15" s="14">
        <v>0.1742331884984</v>
      </c>
      <c r="AL15" s="14">
        <v>-0.28670602563692998</v>
      </c>
      <c r="AM15" s="14">
        <v>-3.4713672279720602E-2</v>
      </c>
    </row>
    <row r="16" spans="1:39">
      <c r="A16">
        <v>10</v>
      </c>
      <c r="B16" s="5" t="s">
        <v>16</v>
      </c>
      <c r="C16" s="3">
        <v>13.88</v>
      </c>
      <c r="D16" s="3">
        <v>5.03</v>
      </c>
      <c r="E16" s="3">
        <v>4.34</v>
      </c>
      <c r="L16" s="5" t="s">
        <v>377</v>
      </c>
      <c r="M16" s="14">
        <v>24.505400000000002</v>
      </c>
      <c r="N16" s="14">
        <v>67.259799999999899</v>
      </c>
      <c r="O16" s="14">
        <v>946.16689999999903</v>
      </c>
      <c r="P16" s="14">
        <v>9.0252999999999908</v>
      </c>
      <c r="Q16" s="14">
        <v>139.888499999999</v>
      </c>
      <c r="R16" s="14">
        <v>266.16289999999998</v>
      </c>
      <c r="S16" s="14">
        <v>14.0999999999999</v>
      </c>
      <c r="T16" s="14">
        <v>134.79900000000001</v>
      </c>
      <c r="U16" s="14">
        <v>5.0848999999999904</v>
      </c>
      <c r="V16" s="14">
        <v>67.004999999999896</v>
      </c>
      <c r="X16" s="5" t="s">
        <v>377</v>
      </c>
      <c r="Y16" s="14">
        <v>218.55828249999999</v>
      </c>
      <c r="Z16" s="14">
        <v>347.21878249999997</v>
      </c>
      <c r="AA16" s="14">
        <v>-236.21481749999899</v>
      </c>
      <c r="AB16" s="14">
        <v>242.69823249999999</v>
      </c>
      <c r="AC16" s="14">
        <v>59.489037500000201</v>
      </c>
      <c r="AD16" s="14">
        <v>-15.830187499999701</v>
      </c>
      <c r="AE16" s="14">
        <v>175.7144275</v>
      </c>
      <c r="AF16" s="14">
        <v>57.1066675000001</v>
      </c>
      <c r="AG16" s="14">
        <v>218.76428250000001</v>
      </c>
      <c r="AH16" s="14">
        <v>350.67466250000001</v>
      </c>
      <c r="AJ16" s="5" t="s">
        <v>414</v>
      </c>
      <c r="AK16" s="14">
        <v>0.270470076213569</v>
      </c>
      <c r="AL16" s="14">
        <v>-1.29475374853418E-2</v>
      </c>
      <c r="AM16" s="14">
        <v>-8.1671170283758199E-2</v>
      </c>
    </row>
    <row r="17" spans="1:39">
      <c r="A17">
        <v>11</v>
      </c>
      <c r="B17" s="5" t="s">
        <v>377</v>
      </c>
      <c r="C17" s="3">
        <v>21.43</v>
      </c>
      <c r="D17" s="3">
        <v>7.03</v>
      </c>
      <c r="E17" s="3">
        <v>6.79</v>
      </c>
      <c r="L17" s="5" t="s">
        <v>272</v>
      </c>
      <c r="M17" s="14">
        <v>39.504499999999901</v>
      </c>
      <c r="N17" s="14">
        <v>185.32910000000001</v>
      </c>
      <c r="O17" s="14">
        <v>636.16459999999904</v>
      </c>
      <c r="P17" s="14">
        <v>49.376399999999997</v>
      </c>
      <c r="Q17" s="14">
        <v>51.947399999999902</v>
      </c>
      <c r="R17" s="14">
        <v>132.02699999999999</v>
      </c>
      <c r="S17" s="14">
        <v>7.5025000000000004</v>
      </c>
      <c r="T17" s="14">
        <v>46.927700000000002</v>
      </c>
      <c r="U17" s="14">
        <v>32.673200000000001</v>
      </c>
      <c r="V17" s="14">
        <v>193.117899999999</v>
      </c>
      <c r="X17" s="5" t="s">
        <v>272</v>
      </c>
      <c r="Y17" s="14">
        <v>145.57180750000001</v>
      </c>
      <c r="Z17" s="14">
        <v>222.69720749999999</v>
      </c>
      <c r="AA17" s="14">
        <v>-146.700592499999</v>
      </c>
      <c r="AB17" s="14">
        <v>157.03575749999999</v>
      </c>
      <c r="AC17" s="14">
        <v>37.972662500000098</v>
      </c>
      <c r="AD17" s="14">
        <v>-14.2491624999997</v>
      </c>
      <c r="AE17" s="14">
        <v>113.5262525</v>
      </c>
      <c r="AF17" s="14">
        <v>35.555392500000103</v>
      </c>
      <c r="AG17" s="14">
        <v>139.48320749999999</v>
      </c>
      <c r="AH17" s="14">
        <v>222.13128750000001</v>
      </c>
      <c r="AJ17" s="5" t="s">
        <v>415</v>
      </c>
      <c r="AK17" s="14">
        <v>-0.180707214888291</v>
      </c>
      <c r="AL17" s="14">
        <v>-0.217564963771296</v>
      </c>
      <c r="AM17" s="14">
        <v>0.1003492776476</v>
      </c>
    </row>
    <row r="18" spans="1:39" ht="13.5" thickBot="1">
      <c r="A18">
        <v>12</v>
      </c>
      <c r="B18" s="5" t="s">
        <v>272</v>
      </c>
      <c r="C18" s="3">
        <f>15.13+(15.13*0.8)</f>
        <v>27.234000000000002</v>
      </c>
      <c r="D18" s="3">
        <v>5.3</v>
      </c>
      <c r="E18" s="3">
        <v>8.19</v>
      </c>
      <c r="G18" s="10" t="s">
        <v>39</v>
      </c>
      <c r="H18" s="10"/>
      <c r="I18" s="10"/>
      <c r="J18" s="10"/>
      <c r="L18" s="5" t="s">
        <v>221</v>
      </c>
      <c r="M18" s="14">
        <v>284.51369999999901</v>
      </c>
      <c r="N18" s="14">
        <v>618.79070000000002</v>
      </c>
      <c r="O18" s="14">
        <v>189.65179999999901</v>
      </c>
      <c r="P18" s="14">
        <v>325.41039999999902</v>
      </c>
      <c r="Q18" s="14">
        <v>52.652999999999899</v>
      </c>
      <c r="R18" s="14">
        <v>7.5301999999999802</v>
      </c>
      <c r="S18" s="14">
        <v>182.19049999999999</v>
      </c>
      <c r="T18" s="14">
        <v>35.048899999999897</v>
      </c>
      <c r="U18" s="14">
        <v>273.23599999999902</v>
      </c>
      <c r="V18" s="14">
        <v>627.22669999999903</v>
      </c>
      <c r="X18" s="5" t="s">
        <v>221</v>
      </c>
      <c r="Y18" s="14">
        <v>-24.0349824999997</v>
      </c>
      <c r="Z18" s="14">
        <v>-41.135782499999699</v>
      </c>
      <c r="AA18" s="14">
        <v>29.453617500000099</v>
      </c>
      <c r="AB18" s="14">
        <v>-28.083432499999699</v>
      </c>
      <c r="AC18" s="14">
        <v>-9.4823274999997498</v>
      </c>
      <c r="AD18" s="14">
        <v>0.89704750000029498</v>
      </c>
      <c r="AE18" s="14">
        <v>-20.919937499999701</v>
      </c>
      <c r="AF18" s="14">
        <v>-5.6073974999998102</v>
      </c>
      <c r="AG18" s="14">
        <v>-27.900382499999701</v>
      </c>
      <c r="AH18" s="14">
        <v>-42.025302499999697</v>
      </c>
      <c r="AJ18" s="5" t="s">
        <v>416</v>
      </c>
      <c r="AK18" s="14">
        <v>0.19033480715415499</v>
      </c>
      <c r="AL18" s="14">
        <v>-0.102883787211536</v>
      </c>
      <c r="AM18" s="14">
        <v>-8.4463375233871499E-2</v>
      </c>
    </row>
    <row r="19" spans="1:39" ht="13.5" thickTop="1">
      <c r="A19">
        <v>13</v>
      </c>
      <c r="B19" s="5" t="s">
        <v>221</v>
      </c>
      <c r="C19" s="3">
        <v>38.15</v>
      </c>
      <c r="D19" s="3">
        <v>9.4</v>
      </c>
      <c r="E19" s="3">
        <v>8.7100000000000009</v>
      </c>
      <c r="H19" s="58" t="str">
        <f>B7</f>
        <v>Acaste</v>
      </c>
      <c r="I19" s="58" t="str">
        <f>B7</f>
        <v>Acaste</v>
      </c>
      <c r="J19" s="58" t="str">
        <f>B7</f>
        <v>Acaste</v>
      </c>
      <c r="L19" s="5" t="s">
        <v>181</v>
      </c>
      <c r="M19" s="14">
        <v>504.59539999999998</v>
      </c>
      <c r="N19" s="14">
        <v>865.55420000000004</v>
      </c>
      <c r="O19" s="14">
        <v>155.76889999999901</v>
      </c>
      <c r="P19" s="14">
        <v>529.81209999999896</v>
      </c>
      <c r="Q19" s="14">
        <v>102.7363</v>
      </c>
      <c r="R19" s="14">
        <v>32.3612999999999</v>
      </c>
      <c r="S19" s="14">
        <v>336.25740000000002</v>
      </c>
      <c r="T19" s="14">
        <v>141.6728</v>
      </c>
      <c r="U19" s="14">
        <v>415.61450000000002</v>
      </c>
      <c r="V19" s="14">
        <v>861.66499999999905</v>
      </c>
      <c r="X19" s="5" t="s">
        <v>181</v>
      </c>
      <c r="Y19" s="14">
        <v>-104.66585749999901</v>
      </c>
      <c r="Z19" s="14">
        <v>-135.10755749999899</v>
      </c>
      <c r="AA19" s="14">
        <v>75.805042500000098</v>
      </c>
      <c r="AB19" s="14">
        <v>-100.87430749999901</v>
      </c>
      <c r="AC19" s="14">
        <v>-5.1140024999997298</v>
      </c>
      <c r="AD19" s="14">
        <v>17.891472500000301</v>
      </c>
      <c r="AE19" s="14">
        <v>-68.543412499999704</v>
      </c>
      <c r="AF19" s="14">
        <v>-29.509372499999699</v>
      </c>
      <c r="AG19" s="14">
        <v>-69.679657499999706</v>
      </c>
      <c r="AH19" s="14">
        <v>-129.834477499999</v>
      </c>
      <c r="AJ19" s="5" t="s">
        <v>417</v>
      </c>
      <c r="AK19" s="14">
        <v>4.2980187083473502E-2</v>
      </c>
      <c r="AL19" s="14">
        <v>0.28348502692754102</v>
      </c>
      <c r="AM19" s="14">
        <v>0.36862366722958201</v>
      </c>
    </row>
    <row r="20" spans="1:39">
      <c r="A20">
        <v>14</v>
      </c>
      <c r="B20" s="5" t="s">
        <v>181</v>
      </c>
      <c r="C20" s="3">
        <v>40.11</v>
      </c>
      <c r="D20" s="3">
        <v>14.98</v>
      </c>
      <c r="E20" s="3">
        <v>12.98</v>
      </c>
      <c r="G20" s="5" t="str">
        <f>B7</f>
        <v>Acaste</v>
      </c>
      <c r="H20" s="38">
        <f>((C7*C7)+(D7*D7)+(E7*E7))/SQRT(((C7^2)+(D7^2)+(E7^2))*((C7^2)+(D7^2)+(E7^2)))</f>
        <v>1</v>
      </c>
      <c r="I20" s="38">
        <f>H21</f>
        <v>0.98726392371761429</v>
      </c>
      <c r="J20" s="38">
        <f>H22</f>
        <v>0.9958643769540293</v>
      </c>
      <c r="L20" s="5" t="s">
        <v>182</v>
      </c>
      <c r="M20" s="14">
        <v>1624.307</v>
      </c>
      <c r="N20" s="14">
        <v>2379.6178</v>
      </c>
      <c r="O20" s="14">
        <v>115.6661</v>
      </c>
      <c r="P20" s="14">
        <v>1752.8233</v>
      </c>
      <c r="Q20" s="14">
        <v>946.07129999999995</v>
      </c>
      <c r="R20" s="14">
        <v>645.87169999999901</v>
      </c>
      <c r="S20" s="14">
        <v>1409.9112</v>
      </c>
      <c r="T20" s="14">
        <v>876.2586</v>
      </c>
      <c r="U20" s="14">
        <v>1657.42849999999</v>
      </c>
      <c r="V20" s="14">
        <v>2403.1493999999898</v>
      </c>
      <c r="X20" s="5" t="s">
        <v>182</v>
      </c>
      <c r="Y20" s="14">
        <v>-354.92918749999899</v>
      </c>
      <c r="Z20" s="14">
        <v>-582.546887499999</v>
      </c>
      <c r="AA20" s="14">
        <v>405.44891250000001</v>
      </c>
      <c r="AB20" s="14">
        <v>-402.78743749999899</v>
      </c>
      <c r="AC20" s="14">
        <v>-117.189032499999</v>
      </c>
      <c r="AD20" s="14">
        <v>20.728742500000202</v>
      </c>
      <c r="AE20" s="14">
        <v>-295.77784250000002</v>
      </c>
      <c r="AF20" s="14">
        <v>-87.209802499999896</v>
      </c>
      <c r="AG20" s="14">
        <v>-380.99418749999899</v>
      </c>
      <c r="AH20" s="14">
        <v>-590.984207499999</v>
      </c>
      <c r="AJ20" s="5" t="s">
        <v>179</v>
      </c>
      <c r="AK20" s="14">
        <v>-1.4768736835182501E-2</v>
      </c>
      <c r="AL20" s="14">
        <v>0.16172180128338901</v>
      </c>
      <c r="AM20" s="14">
        <v>-7.88391411602474E-2</v>
      </c>
    </row>
    <row r="21" spans="1:39">
      <c r="A21">
        <v>15</v>
      </c>
      <c r="B21" s="5" t="s">
        <v>182</v>
      </c>
      <c r="C21" s="3">
        <v>62.17</v>
      </c>
      <c r="D21" s="3">
        <v>12.25</v>
      </c>
      <c r="E21" s="3">
        <v>8.7100000000000009</v>
      </c>
      <c r="G21" s="5" t="str">
        <f>B8</f>
        <v>Balizoma</v>
      </c>
      <c r="H21" s="38">
        <f>((C7*C8)+(D7*D8)+(E7*E8))/SQRT(((C7^2)+(D7^2)+(E7^2))*((C8^2)+(D8^2)+(E8^2)))</f>
        <v>0.98726392371761429</v>
      </c>
      <c r="I21" s="38">
        <f>((C8*C8)+(D8*D8)+(E8*E8))/SQRT(((C8^2)+(D8^2)+(E8^2))*((C8^2)+(D8^2)+(E8^2)))</f>
        <v>1</v>
      </c>
      <c r="J21" s="38">
        <f>I22</f>
        <v>0.99755939917473424</v>
      </c>
      <c r="L21" s="5" t="s">
        <v>156</v>
      </c>
      <c r="M21" s="14">
        <v>1403.1388999999899</v>
      </c>
      <c r="N21" s="14">
        <v>2039.4856999999899</v>
      </c>
      <c r="O21" s="14">
        <v>89.174999999999898</v>
      </c>
      <c r="P21" s="14">
        <v>1479.8822</v>
      </c>
      <c r="Q21" s="14">
        <v>680.12900000000002</v>
      </c>
      <c r="R21" s="14">
        <v>433.47939999999898</v>
      </c>
      <c r="S21" s="14">
        <v>1147.8323</v>
      </c>
      <c r="T21" s="14">
        <v>689.83209999999895</v>
      </c>
      <c r="U21" s="14">
        <v>1327.5113999999901</v>
      </c>
      <c r="V21" s="14">
        <v>2040.94209999999</v>
      </c>
      <c r="X21" s="5" t="s">
        <v>156</v>
      </c>
      <c r="Y21" s="14">
        <v>-335.93853749999897</v>
      </c>
      <c r="Z21" s="14">
        <v>-504.07423749999901</v>
      </c>
      <c r="AA21" s="14">
        <v>327.10106250000001</v>
      </c>
      <c r="AB21" s="14">
        <v>-357.91028749999901</v>
      </c>
      <c r="AC21" s="14">
        <v>-75.811282499999606</v>
      </c>
      <c r="AD21" s="14">
        <v>35.331492500000401</v>
      </c>
      <c r="AE21" s="14">
        <v>-256.33179249999898</v>
      </c>
      <c r="AF21" s="14">
        <v>-85.589952499999598</v>
      </c>
      <c r="AG21" s="14">
        <v>-307.62903749999901</v>
      </c>
      <c r="AH21" s="14">
        <v>-501.47395749999902</v>
      </c>
      <c r="AJ21" s="5" t="s">
        <v>400</v>
      </c>
      <c r="AK21" s="14">
        <v>0.136958902515631</v>
      </c>
      <c r="AL21" s="14">
        <v>-4.1200426492848498E-3</v>
      </c>
      <c r="AM21" s="14">
        <v>2.3868244584598099E-2</v>
      </c>
    </row>
    <row r="22" spans="1:39">
      <c r="A22">
        <v>16</v>
      </c>
      <c r="B22" s="5" t="s">
        <v>156</v>
      </c>
      <c r="C22" s="3">
        <v>55.94</v>
      </c>
      <c r="D22" s="3">
        <v>19</v>
      </c>
      <c r="E22" s="3">
        <v>13.1</v>
      </c>
      <c r="G22" s="5" t="str">
        <f>B9</f>
        <v>Calymene</v>
      </c>
      <c r="H22" s="38">
        <f>((C8*C9)+(D8*D9)+(E8*E9))/SQRT(((C8^2)+(D8^2)+(E8^2))*((C9^2)+(D9^2)+(E9^2)))</f>
        <v>0.9958643769540293</v>
      </c>
      <c r="I22" s="38">
        <f>((C7*C9)+(D7*D9)+(E7*E9))/SQRT(((C7^2)+(D7^2)+(E7^2))*((C9^2)+(D9^2)+(E9^2)))</f>
        <v>0.99755939917473424</v>
      </c>
      <c r="J22" s="38">
        <f>((C9*C9)+(D9*D9)+(E9*E9))/SQRT(((C9^2)+(D9^2)+(E9^2))*((C9^2)+(D9^2)+(E9^2)))</f>
        <v>1</v>
      </c>
      <c r="L22" s="5" t="s">
        <v>157</v>
      </c>
      <c r="M22" s="14">
        <v>0.83339999999999803</v>
      </c>
      <c r="N22" s="14">
        <v>81.107399999999899</v>
      </c>
      <c r="O22" s="14">
        <v>892.86369999999897</v>
      </c>
      <c r="P22" s="14">
        <v>5.7972999999999999</v>
      </c>
      <c r="Q22" s="14">
        <v>157.605099999999</v>
      </c>
      <c r="R22" s="14">
        <v>268.90010000000001</v>
      </c>
      <c r="S22" s="14">
        <v>14.699</v>
      </c>
      <c r="T22" s="14">
        <v>116.0792</v>
      </c>
      <c r="U22" s="14">
        <v>31.1845</v>
      </c>
      <c r="V22" s="14">
        <v>90.408599999999893</v>
      </c>
      <c r="X22" s="5" t="s">
        <v>157</v>
      </c>
      <c r="Y22" s="14">
        <v>224.1030825</v>
      </c>
      <c r="Z22" s="14">
        <v>334.0037825</v>
      </c>
      <c r="AA22" s="14">
        <v>-215.85441749999899</v>
      </c>
      <c r="AB22" s="14">
        <v>238.02103249999999</v>
      </c>
      <c r="AC22" s="14">
        <v>44.339537500000198</v>
      </c>
      <c r="AD22" s="14">
        <v>-23.4899874999997</v>
      </c>
      <c r="AE22" s="14">
        <v>169.1237275</v>
      </c>
      <c r="AF22" s="14">
        <v>60.175367500000199</v>
      </c>
      <c r="AG22" s="14">
        <v>199.4232825</v>
      </c>
      <c r="AH22" s="14">
        <v>332.68166250000002</v>
      </c>
      <c r="AJ22" s="5" t="s">
        <v>14</v>
      </c>
      <c r="AK22" s="14">
        <v>4.5769038727966803E-2</v>
      </c>
      <c r="AL22" s="14">
        <v>-0.124713634871936</v>
      </c>
      <c r="AM22" s="14">
        <v>-0.26347709277209003</v>
      </c>
    </row>
    <row r="23" spans="1:39">
      <c r="A23">
        <v>17</v>
      </c>
      <c r="B23" s="5" t="s">
        <v>157</v>
      </c>
      <c r="C23" s="3">
        <v>23.31</v>
      </c>
      <c r="D23" s="3">
        <v>3.84</v>
      </c>
      <c r="E23" s="3">
        <v>4.5999999999999996</v>
      </c>
      <c r="L23" s="5" t="s">
        <v>10</v>
      </c>
      <c r="M23" s="14">
        <v>608.22539999999901</v>
      </c>
      <c r="N23" s="14">
        <v>1082.588</v>
      </c>
      <c r="O23" s="14">
        <v>39.1325</v>
      </c>
      <c r="P23" s="14">
        <v>679.35629999999901</v>
      </c>
      <c r="Q23" s="14">
        <v>208.65289999999899</v>
      </c>
      <c r="R23" s="14">
        <v>98.658499999999904</v>
      </c>
      <c r="S23" s="14">
        <v>464.92979999999898</v>
      </c>
      <c r="T23" s="14">
        <v>202.58779999999899</v>
      </c>
      <c r="U23" s="14">
        <v>598.29709999999898</v>
      </c>
      <c r="V23" s="14">
        <v>1099.2783999999899</v>
      </c>
      <c r="X23" s="5" t="s">
        <v>10</v>
      </c>
      <c r="Y23" s="14">
        <v>-135.04089249999899</v>
      </c>
      <c r="Z23" s="14">
        <v>-222.18449249999901</v>
      </c>
      <c r="AA23" s="14">
        <v>155.5632075</v>
      </c>
      <c r="AB23" s="14">
        <v>-154.20644249999901</v>
      </c>
      <c r="AC23" s="14">
        <v>-36.632337499999799</v>
      </c>
      <c r="AD23" s="14">
        <v>6.1828375000002804</v>
      </c>
      <c r="AE23" s="14">
        <v>-111.439647499999</v>
      </c>
      <c r="AF23" s="14">
        <v>-38.526907499999801</v>
      </c>
      <c r="AG23" s="14">
        <v>-139.58099249999901</v>
      </c>
      <c r="AH23" s="14">
        <v>-227.201212499999</v>
      </c>
      <c r="AJ23" s="5" t="s">
        <v>376</v>
      </c>
      <c r="AK23" s="14">
        <v>0.16748934556801401</v>
      </c>
      <c r="AL23" s="14">
        <v>0.23235251620869601</v>
      </c>
      <c r="AM23" s="14">
        <v>0.22033294749551899</v>
      </c>
    </row>
    <row r="24" spans="1:39">
      <c r="A24">
        <v>18</v>
      </c>
      <c r="B24" s="5" t="s">
        <v>10</v>
      </c>
      <c r="C24" s="3">
        <v>46.12</v>
      </c>
      <c r="D24" s="3">
        <v>8.15</v>
      </c>
      <c r="E24" s="3">
        <v>11.42</v>
      </c>
      <c r="L24" s="5" t="s">
        <v>158</v>
      </c>
      <c r="M24" s="14">
        <v>5096.7290000000003</v>
      </c>
      <c r="N24" s="14">
        <v>6314.6898000000001</v>
      </c>
      <c r="O24" s="14">
        <v>1691.5005000000001</v>
      </c>
      <c r="P24" s="14">
        <v>5279.5657000000001</v>
      </c>
      <c r="Q24" s="14">
        <v>3608.5066999999999</v>
      </c>
      <c r="R24" s="14">
        <v>3039.2296999999999</v>
      </c>
      <c r="S24" s="14">
        <v>4632.7781999999997</v>
      </c>
      <c r="T24" s="14">
        <v>3647.3220000000001</v>
      </c>
      <c r="U24" s="14">
        <v>4993.3521000000001</v>
      </c>
      <c r="V24" s="14">
        <v>6332.3774000000003</v>
      </c>
      <c r="X24" s="5" t="s">
        <v>158</v>
      </c>
      <c r="Y24" s="14">
        <v>-842.331607499999</v>
      </c>
      <c r="Z24" s="14">
        <v>-1301.2743074999901</v>
      </c>
      <c r="AA24" s="14">
        <v>866.34029250000003</v>
      </c>
      <c r="AB24" s="14">
        <v>-917.35005749999902</v>
      </c>
      <c r="AC24" s="14">
        <v>-199.5981525</v>
      </c>
      <c r="AD24" s="14">
        <v>72.858322500000398</v>
      </c>
      <c r="AE24" s="14">
        <v>-658.40276249999999</v>
      </c>
      <c r="AF24" s="14">
        <v>-223.93292249999899</v>
      </c>
      <c r="AG24" s="14">
        <v>-800.14740749999896</v>
      </c>
      <c r="AH24" s="14">
        <v>-1306.7896275000001</v>
      </c>
      <c r="AJ24" s="5" t="s">
        <v>16</v>
      </c>
      <c r="AK24" s="14">
        <v>0.27175710545756199</v>
      </c>
      <c r="AL24" s="14">
        <v>7.4883643234080102E-2</v>
      </c>
      <c r="AM24" s="14">
        <v>-0.168377857129271</v>
      </c>
    </row>
    <row r="25" spans="1:39">
      <c r="A25">
        <v>19</v>
      </c>
      <c r="B25" s="5" t="s">
        <v>158</v>
      </c>
      <c r="C25" s="3">
        <v>89.43</v>
      </c>
      <c r="D25" s="3">
        <v>23.18</v>
      </c>
      <c r="E25" s="3">
        <v>21.52</v>
      </c>
      <c r="L25" s="5" t="s">
        <v>11</v>
      </c>
      <c r="M25" s="14">
        <v>777.92619999999999</v>
      </c>
      <c r="N25" s="14">
        <v>1278.203</v>
      </c>
      <c r="O25" s="14">
        <v>22.586099999999899</v>
      </c>
      <c r="P25" s="14">
        <v>840.29129999999998</v>
      </c>
      <c r="Q25" s="14">
        <v>278.82429999999999</v>
      </c>
      <c r="R25" s="14">
        <v>130.47289999999899</v>
      </c>
      <c r="S25" s="14">
        <v>594.12739999999997</v>
      </c>
      <c r="T25" s="14">
        <v>282.30160000000001</v>
      </c>
      <c r="U25" s="14">
        <v>731.9289</v>
      </c>
      <c r="V25" s="14">
        <v>1284.7945999999899</v>
      </c>
      <c r="X25" s="5" t="s">
        <v>11</v>
      </c>
      <c r="Y25" s="14">
        <v>-191.834927499999</v>
      </c>
      <c r="Z25" s="14">
        <v>-291.93562749999899</v>
      </c>
      <c r="AA25" s="14">
        <v>191.89277250000001</v>
      </c>
      <c r="AB25" s="14">
        <v>-206.61757749999899</v>
      </c>
      <c r="AC25" s="14">
        <v>-43.661672499999803</v>
      </c>
      <c r="AD25" s="14">
        <v>18.3320025000002</v>
      </c>
      <c r="AE25" s="14">
        <v>-147.982082499999</v>
      </c>
      <c r="AF25" s="14">
        <v>-50.327442499999798</v>
      </c>
      <c r="AG25" s="14">
        <v>-178.34052749999901</v>
      </c>
      <c r="AH25" s="14">
        <v>-291.90294749999902</v>
      </c>
      <c r="AJ25" s="5" t="s">
        <v>377</v>
      </c>
      <c r="AK25" s="14">
        <v>0.17640156123183001</v>
      </c>
      <c r="AL25" s="14">
        <v>0.128646610255814</v>
      </c>
      <c r="AM25" s="14">
        <v>-6.2780170154314599E-2</v>
      </c>
    </row>
    <row r="26" spans="1:39">
      <c r="A26">
        <v>20</v>
      </c>
      <c r="B26" s="5" t="s">
        <v>11</v>
      </c>
      <c r="C26" s="3">
        <v>47.89</v>
      </c>
      <c r="D26" s="3">
        <v>13.56</v>
      </c>
      <c r="E26" s="3">
        <v>11.78</v>
      </c>
      <c r="K26" s="18"/>
      <c r="Y26" s="14"/>
      <c r="AJ26" s="5" t="s">
        <v>272</v>
      </c>
      <c r="AK26" s="14">
        <v>0.113572698369915</v>
      </c>
      <c r="AL26" s="14">
        <v>-4.8192602882764501E-2</v>
      </c>
      <c r="AM26" s="14">
        <v>0.31922355131192398</v>
      </c>
    </row>
    <row r="27" spans="1:39">
      <c r="C27" s="2"/>
      <c r="D27" s="2"/>
      <c r="E27" s="2"/>
      <c r="K27" s="18"/>
      <c r="AJ27" s="5" t="s">
        <v>221</v>
      </c>
      <c r="AK27" s="14">
        <v>-2.0997968404023699E-2</v>
      </c>
      <c r="AL27" s="14">
        <v>-6.2955222914454295E-2</v>
      </c>
      <c r="AM27" s="14">
        <v>-2.8068034309925199E-2</v>
      </c>
    </row>
    <row r="28" spans="1:39">
      <c r="B28" s="6" t="s">
        <v>185</v>
      </c>
      <c r="C28" s="3">
        <f>SUM(C7:C26)</f>
        <v>724.37900000000002</v>
      </c>
      <c r="D28" s="3">
        <f>SUM(D7:D26)</f>
        <v>187.45000000000005</v>
      </c>
      <c r="E28" s="3">
        <f>SUM(E7:E26)</f>
        <v>179.51</v>
      </c>
      <c r="K28" s="18"/>
      <c r="M28" s="58" t="s">
        <v>377</v>
      </c>
      <c r="N28" s="58" t="s">
        <v>272</v>
      </c>
      <c r="O28" s="58" t="s">
        <v>221</v>
      </c>
      <c r="P28" s="58" t="s">
        <v>181</v>
      </c>
      <c r="Q28" s="58" t="s">
        <v>182</v>
      </c>
      <c r="R28" s="58" t="s">
        <v>156</v>
      </c>
      <c r="S28" s="58" t="s">
        <v>157</v>
      </c>
      <c r="T28" s="58" t="s">
        <v>10</v>
      </c>
      <c r="U28" s="58" t="s">
        <v>158</v>
      </c>
      <c r="V28" s="58" t="s">
        <v>11</v>
      </c>
      <c r="Y28" s="58" t="s">
        <v>377</v>
      </c>
      <c r="Z28" s="58" t="s">
        <v>272</v>
      </c>
      <c r="AA28" s="58" t="s">
        <v>221</v>
      </c>
      <c r="AB28" s="58" t="s">
        <v>181</v>
      </c>
      <c r="AC28" s="58" t="s">
        <v>182</v>
      </c>
      <c r="AD28" s="58" t="s">
        <v>156</v>
      </c>
      <c r="AE28" s="58" t="s">
        <v>157</v>
      </c>
      <c r="AF28" s="58" t="s">
        <v>10</v>
      </c>
      <c r="AG28" s="58" t="s">
        <v>158</v>
      </c>
      <c r="AH28" s="58" t="s">
        <v>11</v>
      </c>
      <c r="AJ28" s="5" t="s">
        <v>181</v>
      </c>
      <c r="AK28" s="14">
        <v>-6.8396033461879197E-2</v>
      </c>
      <c r="AL28" s="14">
        <v>0.44510205189215801</v>
      </c>
      <c r="AM28" s="14">
        <v>-0.116230851093074</v>
      </c>
    </row>
    <row r="29" spans="1:39" s="17" customFormat="1">
      <c r="B29" s="17" t="s">
        <v>51</v>
      </c>
      <c r="C29" s="35">
        <f>MIN(C7:C26)</f>
        <v>13.88</v>
      </c>
      <c r="D29" s="35">
        <f>MIN(D7:D26)</f>
        <v>3.5</v>
      </c>
      <c r="E29" s="35">
        <f>MIN(E7:E26)</f>
        <v>3.77</v>
      </c>
      <c r="G29"/>
      <c r="H29"/>
      <c r="I29"/>
      <c r="J29"/>
      <c r="L29" s="5" t="s">
        <v>413</v>
      </c>
      <c r="M29" s="14">
        <v>24.505400000000002</v>
      </c>
      <c r="N29" s="14">
        <v>39.504499999999901</v>
      </c>
      <c r="O29" s="14">
        <v>284.51369999999901</v>
      </c>
      <c r="P29" s="14">
        <v>504.59539999999998</v>
      </c>
      <c r="Q29" s="14">
        <v>1624.307</v>
      </c>
      <c r="R29" s="14">
        <v>1403.1388999999899</v>
      </c>
      <c r="S29" s="14">
        <v>0.83339999999999803</v>
      </c>
      <c r="T29" s="14">
        <v>608.22539999999901</v>
      </c>
      <c r="U29" s="14">
        <v>5096.7290000000003</v>
      </c>
      <c r="V29" s="14">
        <v>777.92619999999999</v>
      </c>
      <c r="X29" s="5" t="s">
        <v>413</v>
      </c>
      <c r="Y29" s="14">
        <v>218.55828249999999</v>
      </c>
      <c r="Z29" s="14">
        <v>145.57180750000001</v>
      </c>
      <c r="AA29" s="14">
        <v>-24.0349824999997</v>
      </c>
      <c r="AB29" s="14">
        <v>-104.66585749999901</v>
      </c>
      <c r="AC29" s="14">
        <v>-354.92918749999899</v>
      </c>
      <c r="AD29" s="14">
        <v>-335.93853749999897</v>
      </c>
      <c r="AE29" s="14">
        <v>224.1030825</v>
      </c>
      <c r="AF29" s="14">
        <v>-135.04089249999899</v>
      </c>
      <c r="AG29" s="14">
        <v>-842.331607499999</v>
      </c>
      <c r="AH29" s="14">
        <v>-191.834927499999</v>
      </c>
      <c r="AJ29" s="5" t="s">
        <v>182</v>
      </c>
      <c r="AK29" s="14">
        <v>-0.296793336999709</v>
      </c>
      <c r="AL29" s="14">
        <v>-0.51999574972946105</v>
      </c>
      <c r="AM29" s="14">
        <v>-0.252116601982038</v>
      </c>
    </row>
    <row r="30" spans="1:39" s="17" customFormat="1">
      <c r="B30" s="17" t="s">
        <v>53</v>
      </c>
      <c r="C30" s="35">
        <f>MAX(C7:C26)</f>
        <v>89.43</v>
      </c>
      <c r="D30" s="35">
        <f>MAX(D7:D26)</f>
        <v>23.18</v>
      </c>
      <c r="E30" s="35">
        <f>MAX(E7:E26)</f>
        <v>21.52</v>
      </c>
      <c r="G30"/>
      <c r="H30"/>
      <c r="I30"/>
      <c r="J30"/>
      <c r="L30" s="5" t="s">
        <v>414</v>
      </c>
      <c r="M30" s="14">
        <v>67.259799999999899</v>
      </c>
      <c r="N30" s="14">
        <v>185.32910000000001</v>
      </c>
      <c r="O30" s="14">
        <v>618.79070000000002</v>
      </c>
      <c r="P30" s="14">
        <v>865.55420000000004</v>
      </c>
      <c r="Q30" s="14">
        <v>2379.6178</v>
      </c>
      <c r="R30" s="14">
        <v>2039.4856999999899</v>
      </c>
      <c r="S30" s="14">
        <v>81.107399999999899</v>
      </c>
      <c r="T30" s="14">
        <v>1082.588</v>
      </c>
      <c r="U30" s="14">
        <v>6314.6898000000001</v>
      </c>
      <c r="V30" s="14">
        <v>1278.203</v>
      </c>
      <c r="X30" s="5" t="s">
        <v>414</v>
      </c>
      <c r="Y30" s="14">
        <v>347.21878249999997</v>
      </c>
      <c r="Z30" s="14">
        <v>222.69720749999999</v>
      </c>
      <c r="AA30" s="14">
        <v>-41.135782499999699</v>
      </c>
      <c r="AB30" s="14">
        <v>-135.10755749999899</v>
      </c>
      <c r="AC30" s="14">
        <v>-582.546887499999</v>
      </c>
      <c r="AD30" s="14">
        <v>-504.07423749999901</v>
      </c>
      <c r="AE30" s="14">
        <v>334.0037825</v>
      </c>
      <c r="AF30" s="14">
        <v>-222.18449249999901</v>
      </c>
      <c r="AG30" s="14">
        <v>-1301.2743074999901</v>
      </c>
      <c r="AH30" s="14">
        <v>-291.93562749999899</v>
      </c>
      <c r="AJ30" s="5" t="s">
        <v>156</v>
      </c>
      <c r="AK30" s="14">
        <v>-0.25654869252205798</v>
      </c>
      <c r="AL30" s="14">
        <v>0.27632278198552601</v>
      </c>
      <c r="AM30" s="14">
        <v>-0.48498756236188501</v>
      </c>
    </row>
    <row r="31" spans="1:39" s="17" customFormat="1">
      <c r="B31" s="17" t="s">
        <v>48</v>
      </c>
      <c r="C31" s="35">
        <f>C30-C29</f>
        <v>75.550000000000011</v>
      </c>
      <c r="D31" s="35">
        <f>D30-D29</f>
        <v>19.68</v>
      </c>
      <c r="E31" s="35">
        <f>E30-E29</f>
        <v>17.75</v>
      </c>
      <c r="G31"/>
      <c r="H31"/>
      <c r="I31"/>
      <c r="J31"/>
      <c r="L31" s="5" t="s">
        <v>415</v>
      </c>
      <c r="M31" s="14">
        <v>946.16689999999903</v>
      </c>
      <c r="N31" s="14">
        <v>636.16459999999904</v>
      </c>
      <c r="O31" s="14">
        <v>189.65179999999901</v>
      </c>
      <c r="P31" s="14">
        <v>155.76889999999901</v>
      </c>
      <c r="Q31" s="14">
        <v>115.6661</v>
      </c>
      <c r="R31" s="14">
        <v>89.174999999999898</v>
      </c>
      <c r="S31" s="14">
        <v>892.86369999999897</v>
      </c>
      <c r="T31" s="14">
        <v>39.1325</v>
      </c>
      <c r="U31" s="14">
        <v>1691.5005000000001</v>
      </c>
      <c r="V31" s="14">
        <v>22.586099999999899</v>
      </c>
      <c r="X31" s="5" t="s">
        <v>415</v>
      </c>
      <c r="Y31" s="14">
        <v>-236.21481749999899</v>
      </c>
      <c r="Z31" s="14">
        <v>-146.700592499999</v>
      </c>
      <c r="AA31" s="14">
        <v>29.453617500000099</v>
      </c>
      <c r="AB31" s="14">
        <v>75.805042500000098</v>
      </c>
      <c r="AC31" s="14">
        <v>405.44891250000001</v>
      </c>
      <c r="AD31" s="14">
        <v>327.10106250000001</v>
      </c>
      <c r="AE31" s="14">
        <v>-215.85441749999899</v>
      </c>
      <c r="AF31" s="14">
        <v>155.5632075</v>
      </c>
      <c r="AG31" s="14">
        <v>866.34029250000003</v>
      </c>
      <c r="AH31" s="14">
        <v>191.89277250000001</v>
      </c>
      <c r="AJ31" s="5" t="s">
        <v>157</v>
      </c>
      <c r="AK31" s="14">
        <v>0.169500143452883</v>
      </c>
      <c r="AL31" s="14">
        <v>-0.226248861035515</v>
      </c>
      <c r="AM31" s="14">
        <v>2.9300802052903099E-2</v>
      </c>
    </row>
    <row r="32" spans="1:39">
      <c r="B32" t="s">
        <v>178</v>
      </c>
      <c r="C32" s="3">
        <f>AVERAGE(C7:C26)</f>
        <v>36.21895</v>
      </c>
      <c r="D32" s="3">
        <f>AVERAGE(D7:D26)</f>
        <v>9.3725000000000023</v>
      </c>
      <c r="E32" s="3">
        <f>AVERAGE(E7:E26)</f>
        <v>8.9755000000000003</v>
      </c>
      <c r="L32" s="5" t="s">
        <v>416</v>
      </c>
      <c r="M32" s="14">
        <v>9.0252999999999908</v>
      </c>
      <c r="N32" s="14">
        <v>49.376399999999997</v>
      </c>
      <c r="O32" s="14">
        <v>325.41039999999902</v>
      </c>
      <c r="P32" s="14">
        <v>529.81209999999896</v>
      </c>
      <c r="Q32" s="14">
        <v>1752.8233</v>
      </c>
      <c r="R32" s="14">
        <v>1479.8822</v>
      </c>
      <c r="S32" s="14">
        <v>5.7972999999999999</v>
      </c>
      <c r="T32" s="14">
        <v>679.35629999999901</v>
      </c>
      <c r="U32" s="14">
        <v>5279.5657000000001</v>
      </c>
      <c r="V32" s="14">
        <v>840.29129999999998</v>
      </c>
      <c r="X32" s="5" t="s">
        <v>416</v>
      </c>
      <c r="Y32" s="14">
        <v>242.69823249999999</v>
      </c>
      <c r="Z32" s="14">
        <v>157.03575749999999</v>
      </c>
      <c r="AA32" s="14">
        <v>-28.083432499999699</v>
      </c>
      <c r="AB32" s="14">
        <v>-100.87430749999901</v>
      </c>
      <c r="AC32" s="14">
        <v>-402.78743749999899</v>
      </c>
      <c r="AD32" s="14">
        <v>-357.91028749999901</v>
      </c>
      <c r="AE32" s="14">
        <v>238.02103249999999</v>
      </c>
      <c r="AF32" s="14">
        <v>-154.20644249999901</v>
      </c>
      <c r="AG32" s="14">
        <v>-917.35005749999902</v>
      </c>
      <c r="AH32" s="14">
        <v>-206.61757749999899</v>
      </c>
      <c r="AJ32" s="5" t="s">
        <v>10</v>
      </c>
      <c r="AK32" s="14">
        <v>-0.112324928111819</v>
      </c>
      <c r="AL32" s="14">
        <v>-0.197155740886541</v>
      </c>
      <c r="AM32" s="14">
        <v>0.46829210245923297</v>
      </c>
    </row>
    <row r="33" spans="1:39">
      <c r="B33" t="s">
        <v>330</v>
      </c>
      <c r="C33" s="3">
        <f>VAR(C7:C26)</f>
        <v>346.89414731315782</v>
      </c>
      <c r="D33" s="3">
        <f>VAR(D7:D26)</f>
        <v>27.332851315789412</v>
      </c>
      <c r="E33" s="3">
        <f>VAR(E7:E26)</f>
        <v>18.266110263157913</v>
      </c>
      <c r="L33" s="5" t="s">
        <v>417</v>
      </c>
      <c r="M33" s="14">
        <v>139.888499999999</v>
      </c>
      <c r="N33" s="14">
        <v>51.947399999999902</v>
      </c>
      <c r="O33" s="14">
        <v>52.652999999999899</v>
      </c>
      <c r="P33" s="14">
        <v>102.7363</v>
      </c>
      <c r="Q33" s="14">
        <v>946.07129999999995</v>
      </c>
      <c r="R33" s="14">
        <v>680.12900000000002</v>
      </c>
      <c r="S33" s="14">
        <v>157.605099999999</v>
      </c>
      <c r="T33" s="14">
        <v>208.65289999999899</v>
      </c>
      <c r="U33" s="14">
        <v>3608.5066999999999</v>
      </c>
      <c r="V33" s="14">
        <v>278.82429999999999</v>
      </c>
      <c r="X33" s="5" t="s">
        <v>417</v>
      </c>
      <c r="Y33" s="14">
        <v>59.489037500000201</v>
      </c>
      <c r="Z33" s="14">
        <v>37.972662500000098</v>
      </c>
      <c r="AA33" s="14">
        <v>-9.4823274999997498</v>
      </c>
      <c r="AB33" s="14">
        <v>-5.1140024999997298</v>
      </c>
      <c r="AC33" s="14">
        <v>-117.189032499999</v>
      </c>
      <c r="AD33" s="14">
        <v>-75.811282499999606</v>
      </c>
      <c r="AE33" s="14">
        <v>44.339537500000198</v>
      </c>
      <c r="AF33" s="14">
        <v>-36.632337499999799</v>
      </c>
      <c r="AG33" s="14">
        <v>-199.5981525</v>
      </c>
      <c r="AH33" s="14">
        <v>-43.661672499999803</v>
      </c>
      <c r="AJ33" s="5" t="s">
        <v>158</v>
      </c>
      <c r="AK33" s="14">
        <v>-0.66060355056145403</v>
      </c>
      <c r="AL33" s="14">
        <v>0.106572795365431</v>
      </c>
      <c r="AM33" s="14">
        <v>0.20242983157449601</v>
      </c>
    </row>
    <row r="34" spans="1:39">
      <c r="B34" s="31" t="s">
        <v>184</v>
      </c>
      <c r="C34" s="13">
        <f>STDEV(C7:C26)</f>
        <v>18.625094558502457</v>
      </c>
      <c r="D34" s="13">
        <f>STDEV(D7:D26)</f>
        <v>5.2280829484419442</v>
      </c>
      <c r="E34" s="13">
        <f>STDEV(E7:E26)</f>
        <v>4.2738870204016752</v>
      </c>
      <c r="L34" s="5" t="s">
        <v>179</v>
      </c>
      <c r="M34" s="14">
        <v>266.16289999999998</v>
      </c>
      <c r="N34" s="14">
        <v>132.02699999999999</v>
      </c>
      <c r="O34" s="14">
        <v>7.5301999999999802</v>
      </c>
      <c r="P34" s="14">
        <v>32.3612999999999</v>
      </c>
      <c r="Q34" s="14">
        <v>645.87169999999901</v>
      </c>
      <c r="R34" s="14">
        <v>433.47939999999898</v>
      </c>
      <c r="S34" s="14">
        <v>268.90010000000001</v>
      </c>
      <c r="T34" s="14">
        <v>98.658499999999904</v>
      </c>
      <c r="U34" s="14">
        <v>3039.2296999999999</v>
      </c>
      <c r="V34" s="14">
        <v>130.47289999999899</v>
      </c>
      <c r="X34" s="5" t="s">
        <v>179</v>
      </c>
      <c r="Y34" s="14">
        <v>-15.830187499999701</v>
      </c>
      <c r="Z34" s="14">
        <v>-14.2491624999997</v>
      </c>
      <c r="AA34" s="14">
        <v>0.89704750000029498</v>
      </c>
      <c r="AB34" s="14">
        <v>17.891472500000301</v>
      </c>
      <c r="AC34" s="14">
        <v>20.728742500000202</v>
      </c>
      <c r="AD34" s="14">
        <v>35.331492500000401</v>
      </c>
      <c r="AE34" s="14">
        <v>-23.4899874999997</v>
      </c>
      <c r="AF34" s="14">
        <v>6.1828375000002804</v>
      </c>
      <c r="AG34" s="14">
        <v>72.858322500000398</v>
      </c>
      <c r="AH34" s="14">
        <v>18.3320025000002</v>
      </c>
      <c r="AJ34" s="61" t="s">
        <v>11</v>
      </c>
      <c r="AK34" s="62">
        <v>-0.148326592488985</v>
      </c>
      <c r="AL34" s="62">
        <v>9.4396941922440802E-2</v>
      </c>
      <c r="AM34" s="62">
        <v>-7.6694895595679297E-2</v>
      </c>
    </row>
    <row r="35" spans="1:39">
      <c r="L35" s="5" t="s">
        <v>400</v>
      </c>
      <c r="M35" s="14">
        <v>14.0999999999999</v>
      </c>
      <c r="N35" s="14">
        <v>7.5025000000000004</v>
      </c>
      <c r="O35" s="14">
        <v>182.19049999999999</v>
      </c>
      <c r="P35" s="14">
        <v>336.25740000000002</v>
      </c>
      <c r="Q35" s="14">
        <v>1409.9112</v>
      </c>
      <c r="R35" s="14">
        <v>1147.8323</v>
      </c>
      <c r="S35" s="14">
        <v>14.699</v>
      </c>
      <c r="T35" s="14">
        <v>464.92979999999898</v>
      </c>
      <c r="U35" s="14">
        <v>4632.7781999999997</v>
      </c>
      <c r="V35" s="14">
        <v>594.12739999999997</v>
      </c>
      <c r="X35" s="5" t="s">
        <v>400</v>
      </c>
      <c r="Y35" s="14">
        <v>175.7144275</v>
      </c>
      <c r="Z35" s="14">
        <v>113.5262525</v>
      </c>
      <c r="AA35" s="14">
        <v>-20.919937499999701</v>
      </c>
      <c r="AB35" s="14">
        <v>-68.543412499999704</v>
      </c>
      <c r="AC35" s="14">
        <v>-295.77784250000002</v>
      </c>
      <c r="AD35" s="14">
        <v>-256.33179249999898</v>
      </c>
      <c r="AE35" s="14">
        <v>169.1237275</v>
      </c>
      <c r="AF35" s="14">
        <v>-111.439647499999</v>
      </c>
      <c r="AG35" s="14">
        <v>-658.40276249999999</v>
      </c>
      <c r="AH35" s="14">
        <v>-147.982082499999</v>
      </c>
    </row>
    <row r="36" spans="1:39">
      <c r="L36" s="5" t="s">
        <v>14</v>
      </c>
      <c r="M36" s="14">
        <v>134.79900000000001</v>
      </c>
      <c r="N36" s="14">
        <v>46.927700000000002</v>
      </c>
      <c r="O36" s="14">
        <v>35.048899999999897</v>
      </c>
      <c r="P36" s="14">
        <v>141.6728</v>
      </c>
      <c r="Q36" s="14">
        <v>876.2586</v>
      </c>
      <c r="R36" s="14">
        <v>689.83209999999895</v>
      </c>
      <c r="S36" s="14">
        <v>116.0792</v>
      </c>
      <c r="T36" s="14">
        <v>202.58779999999899</v>
      </c>
      <c r="U36" s="14">
        <v>3647.3220000000001</v>
      </c>
      <c r="V36" s="14">
        <v>282.30160000000001</v>
      </c>
      <c r="X36" s="5" t="s">
        <v>14</v>
      </c>
      <c r="Y36" s="14">
        <v>57.1066675000001</v>
      </c>
      <c r="Z36" s="14">
        <v>35.555392500000103</v>
      </c>
      <c r="AA36" s="14">
        <v>-5.6073974999998102</v>
      </c>
      <c r="AB36" s="14">
        <v>-29.509372499999699</v>
      </c>
      <c r="AC36" s="14">
        <v>-87.209802499999896</v>
      </c>
      <c r="AD36" s="14">
        <v>-85.589952499999598</v>
      </c>
      <c r="AE36" s="14">
        <v>60.175367500000199</v>
      </c>
      <c r="AF36" s="14">
        <v>-38.526907499999801</v>
      </c>
      <c r="AG36" s="14">
        <v>-223.93292249999899</v>
      </c>
      <c r="AH36" s="14">
        <v>-50.327442499999798</v>
      </c>
    </row>
    <row r="37" spans="1:39" ht="13.5" thickBot="1">
      <c r="B37" s="24" t="s">
        <v>40</v>
      </c>
      <c r="C37" s="10"/>
      <c r="D37" s="11"/>
      <c r="E37" s="10"/>
      <c r="L37" s="5" t="s">
        <v>376</v>
      </c>
      <c r="M37" s="14">
        <v>5.0848999999999904</v>
      </c>
      <c r="N37" s="14">
        <v>32.673200000000001</v>
      </c>
      <c r="O37" s="14">
        <v>273.23599999999902</v>
      </c>
      <c r="P37" s="14">
        <v>415.61450000000002</v>
      </c>
      <c r="Q37" s="14">
        <v>1657.42849999999</v>
      </c>
      <c r="R37" s="14">
        <v>1327.5113999999901</v>
      </c>
      <c r="S37" s="14">
        <v>31.1845</v>
      </c>
      <c r="T37" s="14">
        <v>598.29709999999898</v>
      </c>
      <c r="U37" s="14">
        <v>4993.3521000000001</v>
      </c>
      <c r="V37" s="14">
        <v>731.9289</v>
      </c>
      <c r="X37" s="5" t="s">
        <v>376</v>
      </c>
      <c r="Y37" s="14">
        <v>218.76428250000001</v>
      </c>
      <c r="Z37" s="14">
        <v>139.48320749999999</v>
      </c>
      <c r="AA37" s="14">
        <v>-27.900382499999701</v>
      </c>
      <c r="AB37" s="14">
        <v>-69.679657499999706</v>
      </c>
      <c r="AC37" s="14">
        <v>-380.99418749999899</v>
      </c>
      <c r="AD37" s="14">
        <v>-307.62903749999901</v>
      </c>
      <c r="AE37" s="14">
        <v>199.4232825</v>
      </c>
      <c r="AF37" s="14">
        <v>-139.58099249999901</v>
      </c>
      <c r="AG37" s="14">
        <v>-800.14740749999896</v>
      </c>
      <c r="AH37" s="14">
        <v>-178.34052749999901</v>
      </c>
      <c r="AJ37" s="10" t="s">
        <v>466</v>
      </c>
      <c r="AK37" s="10"/>
      <c r="AL37" s="10"/>
      <c r="AM37" s="10"/>
    </row>
    <row r="38" spans="1:39" ht="13.5" thickTop="1">
      <c r="C38" s="1" t="s">
        <v>20</v>
      </c>
      <c r="D38" s="1" t="s">
        <v>12</v>
      </c>
      <c r="E38" s="1" t="s">
        <v>12</v>
      </c>
      <c r="L38" s="5" t="s">
        <v>16</v>
      </c>
      <c r="M38" s="14">
        <v>67.004999999999896</v>
      </c>
      <c r="N38" s="14">
        <v>193.117899999999</v>
      </c>
      <c r="O38" s="14">
        <v>627.22669999999903</v>
      </c>
      <c r="P38" s="14">
        <v>861.66499999999905</v>
      </c>
      <c r="Q38" s="14">
        <v>2403.1493999999898</v>
      </c>
      <c r="R38" s="14">
        <v>2040.94209999999</v>
      </c>
      <c r="S38" s="14">
        <v>90.408599999999893</v>
      </c>
      <c r="T38" s="14">
        <v>1099.2783999999899</v>
      </c>
      <c r="U38" s="14">
        <v>6332.3774000000003</v>
      </c>
      <c r="V38" s="14">
        <v>1284.7945999999899</v>
      </c>
      <c r="X38" s="5" t="s">
        <v>16</v>
      </c>
      <c r="Y38" s="14">
        <v>350.67466250000001</v>
      </c>
      <c r="Z38" s="14">
        <v>222.13128750000001</v>
      </c>
      <c r="AA38" s="14">
        <v>-42.025302499999697</v>
      </c>
      <c r="AB38" s="14">
        <v>-129.834477499999</v>
      </c>
      <c r="AC38" s="14">
        <v>-590.984207499999</v>
      </c>
      <c r="AD38" s="14">
        <v>-501.47395749999902</v>
      </c>
      <c r="AE38" s="14">
        <v>332.68166250000002</v>
      </c>
      <c r="AF38" s="14">
        <v>-227.201212499999</v>
      </c>
      <c r="AG38" s="14">
        <v>-1306.7896275000001</v>
      </c>
      <c r="AH38" s="14">
        <v>-291.90294749999902</v>
      </c>
      <c r="AK38" s="29" t="s">
        <v>267</v>
      </c>
      <c r="AL38" s="29" t="s">
        <v>268</v>
      </c>
      <c r="AM38" s="29" t="s">
        <v>269</v>
      </c>
    </row>
    <row r="39" spans="1:39">
      <c r="B39" s="30" t="s">
        <v>444</v>
      </c>
      <c r="C39" s="29" t="s">
        <v>173</v>
      </c>
      <c r="D39" s="29" t="s">
        <v>173</v>
      </c>
      <c r="E39" s="29" t="s">
        <v>174</v>
      </c>
      <c r="L39" s="5" t="s">
        <v>377</v>
      </c>
      <c r="M39" s="14">
        <v>0</v>
      </c>
      <c r="N39" s="14">
        <v>38.5929</v>
      </c>
      <c r="O39" s="14">
        <v>288.86169999999902</v>
      </c>
      <c r="P39" s="14">
        <v>450.46099999999899</v>
      </c>
      <c r="Q39" s="14">
        <v>1690.6823999999999</v>
      </c>
      <c r="R39" s="14">
        <v>1374.03709999999</v>
      </c>
      <c r="S39" s="14">
        <v>18.506599999999899</v>
      </c>
      <c r="T39" s="14">
        <v>632.28739999999902</v>
      </c>
      <c r="U39" s="14">
        <v>5101.7954</v>
      </c>
      <c r="V39" s="14">
        <v>767.67259999999897</v>
      </c>
      <c r="X39" s="5" t="s">
        <v>377</v>
      </c>
      <c r="Y39" s="14">
        <v>228.97823750000001</v>
      </c>
      <c r="Z39" s="14">
        <v>144.1948625</v>
      </c>
      <c r="AA39" s="14">
        <v>-28.041727499999698</v>
      </c>
      <c r="AB39" s="14">
        <v>-79.431402499999706</v>
      </c>
      <c r="AC39" s="14">
        <v>-389.94963249999898</v>
      </c>
      <c r="AD39" s="14">
        <v>-323.220382499999</v>
      </c>
      <c r="AE39" s="14">
        <v>213.43373750000001</v>
      </c>
      <c r="AF39" s="14">
        <v>-148.90463749999901</v>
      </c>
      <c r="AG39" s="14">
        <v>-846.69755249999901</v>
      </c>
      <c r="AH39" s="14">
        <v>-188.54087249999901</v>
      </c>
      <c r="AJ39" s="5" t="s">
        <v>413</v>
      </c>
      <c r="AK39" s="14">
        <f>AK15*(SQRT(AK6))</f>
        <v>14.864490832007744</v>
      </c>
      <c r="AL39" s="14">
        <f>AL15*(SQRT(AK7))</f>
        <v>-3.4126087232361262</v>
      </c>
      <c r="AM39" s="14">
        <f>AM15*(SQRT(AK8))</f>
        <v>-0.21177331765046414</v>
      </c>
    </row>
    <row r="40" spans="1:39">
      <c r="A40">
        <v>1</v>
      </c>
      <c r="B40" s="5" t="s">
        <v>413</v>
      </c>
      <c r="C40" s="14">
        <f t="shared" ref="C40:E55" si="0">C7-C$32</f>
        <v>-13.078949999999999</v>
      </c>
      <c r="D40" s="14">
        <f t="shared" si="0"/>
        <v>-5.8725000000000023</v>
      </c>
      <c r="E40" s="14">
        <f t="shared" si="0"/>
        <v>-5.2055000000000007</v>
      </c>
      <c r="L40" s="5" t="s">
        <v>272</v>
      </c>
      <c r="M40" s="14">
        <v>38.5929</v>
      </c>
      <c r="N40" s="14">
        <v>0</v>
      </c>
      <c r="O40" s="14">
        <v>136.326799999999</v>
      </c>
      <c r="P40" s="14">
        <v>282.540899999999</v>
      </c>
      <c r="Q40" s="14">
        <v>1269.3764999999901</v>
      </c>
      <c r="R40" s="14">
        <v>1036.0621999999901</v>
      </c>
      <c r="S40" s="14">
        <v>30.386099999999999</v>
      </c>
      <c r="T40" s="14">
        <v>375.38749999999902</v>
      </c>
      <c r="U40" s="14">
        <v>4366.2232999999997</v>
      </c>
      <c r="V40" s="14">
        <v>507.9513</v>
      </c>
      <c r="X40" s="5" t="s">
        <v>272</v>
      </c>
      <c r="Y40" s="14">
        <v>144.1948625</v>
      </c>
      <c r="Z40" s="14">
        <v>98.004387500000107</v>
      </c>
      <c r="AA40" s="14">
        <v>-17.261202499999801</v>
      </c>
      <c r="AB40" s="14">
        <v>-60.958277499999703</v>
      </c>
      <c r="AC40" s="14">
        <v>-244.78360749999899</v>
      </c>
      <c r="AD40" s="14">
        <v>-219.71985749999899</v>
      </c>
      <c r="AE40" s="14">
        <v>142.00706249999999</v>
      </c>
      <c r="AF40" s="14">
        <v>-85.941612499999806</v>
      </c>
      <c r="AG40" s="14">
        <v>-544.398427499999</v>
      </c>
      <c r="AH40" s="14">
        <v>-124.167147499999</v>
      </c>
      <c r="AJ40" s="5" t="s">
        <v>414</v>
      </c>
      <c r="AK40" s="14">
        <f>AK16*(SQRT(AK6))</f>
        <v>23.074822901757042</v>
      </c>
      <c r="AL40" s="14">
        <f>AL16*(SQRT(AK7))</f>
        <v>-0.15411214071537394</v>
      </c>
      <c r="AM40" s="14">
        <f>AM16*(SQRT(AK7))</f>
        <v>-0.97211681382728521</v>
      </c>
    </row>
    <row r="41" spans="1:39">
      <c r="A41">
        <v>2</v>
      </c>
      <c r="B41" s="5" t="s">
        <v>414</v>
      </c>
      <c r="C41" s="14">
        <f t="shared" si="0"/>
        <v>-21.898949999999999</v>
      </c>
      <c r="D41" s="14">
        <f t="shared" si="0"/>
        <v>-5.4025000000000016</v>
      </c>
      <c r="E41" s="14">
        <f t="shared" si="0"/>
        <v>-4.8955000000000002</v>
      </c>
      <c r="L41" s="5" t="s">
        <v>221</v>
      </c>
      <c r="M41" s="14">
        <v>288.86169999999902</v>
      </c>
      <c r="N41" s="14">
        <v>136.326799999999</v>
      </c>
      <c r="O41" s="14">
        <v>0</v>
      </c>
      <c r="P41" s="14">
        <v>53.210900000000002</v>
      </c>
      <c r="Q41" s="14">
        <v>585.0829</v>
      </c>
      <c r="R41" s="14">
        <v>427.91619999999898</v>
      </c>
      <c r="S41" s="14">
        <v>268.03129999999902</v>
      </c>
      <c r="T41" s="14">
        <v>72.427499999999895</v>
      </c>
      <c r="U41" s="14">
        <v>2983.6228999999998</v>
      </c>
      <c r="V41" s="14">
        <v>121.5981</v>
      </c>
      <c r="X41" s="5" t="s">
        <v>221</v>
      </c>
      <c r="Y41" s="14">
        <v>-28.041727499999698</v>
      </c>
      <c r="Z41" s="14">
        <v>-17.261202499999801</v>
      </c>
      <c r="AA41" s="14">
        <v>3.80000750000021</v>
      </c>
      <c r="AB41" s="14">
        <v>6.6045325000002402</v>
      </c>
      <c r="AC41" s="14">
        <v>50.261002500000103</v>
      </c>
      <c r="AD41" s="14">
        <v>37.250952500000302</v>
      </c>
      <c r="AE41" s="14">
        <v>-23.9177274999997</v>
      </c>
      <c r="AF41" s="14">
        <v>18.436197500000102</v>
      </c>
      <c r="AG41" s="14">
        <v>99.799582500000398</v>
      </c>
      <c r="AH41" s="14">
        <v>21.907262500000101</v>
      </c>
      <c r="AJ41" s="5" t="s">
        <v>415</v>
      </c>
      <c r="AK41" s="14">
        <f>AK17*(SQRT(AK6))</f>
        <v>-15.416814455010227</v>
      </c>
      <c r="AL41" s="14">
        <f>AL17*(SQRT(AK7))</f>
        <v>-2.5896354692478472</v>
      </c>
      <c r="AM41" s="14">
        <f>AM17*(SQRT(AK8))</f>
        <v>0.61218816839711376</v>
      </c>
    </row>
    <row r="42" spans="1:39">
      <c r="A42">
        <v>3</v>
      </c>
      <c r="B42" s="5" t="s">
        <v>415</v>
      </c>
      <c r="C42" s="14">
        <f t="shared" si="0"/>
        <v>15.471049999999998</v>
      </c>
      <c r="D42" s="14">
        <f t="shared" si="0"/>
        <v>1.5374999999999979</v>
      </c>
      <c r="E42" s="14">
        <f t="shared" si="0"/>
        <v>1.7445000000000004</v>
      </c>
      <c r="L42" s="5" t="s">
        <v>181</v>
      </c>
      <c r="M42" s="14">
        <v>450.46099999999899</v>
      </c>
      <c r="N42" s="14">
        <v>282.540899999999</v>
      </c>
      <c r="O42" s="14">
        <v>53.210900000000002</v>
      </c>
      <c r="P42" s="14">
        <v>0</v>
      </c>
      <c r="Q42" s="14">
        <v>512.32939999999996</v>
      </c>
      <c r="R42" s="14">
        <v>266.76369999999901</v>
      </c>
      <c r="S42" s="14">
        <v>476.56400000000002</v>
      </c>
      <c r="T42" s="14">
        <v>85.202599999999904</v>
      </c>
      <c r="U42" s="14">
        <v>2572.634</v>
      </c>
      <c r="V42" s="14">
        <v>63.9848</v>
      </c>
      <c r="X42" s="5" t="s">
        <v>181</v>
      </c>
      <c r="Y42" s="14">
        <v>-79.431402499999706</v>
      </c>
      <c r="Z42" s="14">
        <v>-60.958277499999703</v>
      </c>
      <c r="AA42" s="14">
        <v>6.6045325000002402</v>
      </c>
      <c r="AB42" s="14">
        <v>62.619957500000197</v>
      </c>
      <c r="AC42" s="14">
        <v>116.04772749999999</v>
      </c>
      <c r="AD42" s="14">
        <v>147.2371775</v>
      </c>
      <c r="AE42" s="14">
        <v>-98.7741024999996</v>
      </c>
      <c r="AF42" s="14">
        <v>41.458622500000203</v>
      </c>
      <c r="AG42" s="14">
        <v>334.70400749999999</v>
      </c>
      <c r="AH42" s="14">
        <v>80.123887500000194</v>
      </c>
      <c r="AJ42" s="5" t="s">
        <v>416</v>
      </c>
      <c r="AK42" s="14">
        <f>AK18*(SQRT(AK6))</f>
        <v>16.238180683818914</v>
      </c>
      <c r="AL42" s="14">
        <f>AL18*(SQRT(AK7))</f>
        <v>-1.2246066643966358</v>
      </c>
      <c r="AM42" s="14">
        <f>AM18*(SQRT(AK8))</f>
        <v>-0.51527504923996426</v>
      </c>
    </row>
    <row r="43" spans="1:39">
      <c r="A43">
        <v>4</v>
      </c>
      <c r="B43" s="5" t="s">
        <v>416</v>
      </c>
      <c r="C43" s="14">
        <f t="shared" si="0"/>
        <v>-15.068950000000001</v>
      </c>
      <c r="D43" s="14">
        <f t="shared" si="0"/>
        <v>-4.4725000000000019</v>
      </c>
      <c r="E43" s="14">
        <f t="shared" si="0"/>
        <v>-4.2854999999999999</v>
      </c>
      <c r="L43" s="5" t="s">
        <v>182</v>
      </c>
      <c r="M43" s="14">
        <v>1690.6823999999999</v>
      </c>
      <c r="N43" s="14">
        <v>1269.3764999999901</v>
      </c>
      <c r="O43" s="14">
        <v>585.0829</v>
      </c>
      <c r="P43" s="14">
        <v>512.32939999999996</v>
      </c>
      <c r="Q43" s="14">
        <v>0</v>
      </c>
      <c r="R43" s="14">
        <v>103.64749999999999</v>
      </c>
      <c r="S43" s="14">
        <v>1597.7198000000001</v>
      </c>
      <c r="T43" s="14">
        <v>281.75659999999999</v>
      </c>
      <c r="U43" s="14">
        <v>1026.6686</v>
      </c>
      <c r="V43" s="14">
        <v>215.05940000000001</v>
      </c>
      <c r="X43" s="5" t="s">
        <v>182</v>
      </c>
      <c r="Y43" s="14">
        <v>-389.94963249999898</v>
      </c>
      <c r="Z43" s="14">
        <v>-244.78360749999899</v>
      </c>
      <c r="AA43" s="14">
        <v>50.261002500000103</v>
      </c>
      <c r="AB43" s="14">
        <v>116.04772749999999</v>
      </c>
      <c r="AC43" s="14">
        <v>681.80489750000004</v>
      </c>
      <c r="AD43" s="14">
        <v>538.38774750000005</v>
      </c>
      <c r="AE43" s="14">
        <v>-349.75953249999901</v>
      </c>
      <c r="AF43" s="14">
        <v>252.77409249999999</v>
      </c>
      <c r="AG43" s="14">
        <v>1417.2791775000001</v>
      </c>
      <c r="AH43" s="14">
        <v>314.1790575</v>
      </c>
      <c r="AJ43" s="5" t="s">
        <v>417</v>
      </c>
      <c r="AK43" s="14">
        <f>AK19*(SQRT(AK6))</f>
        <v>3.6668019587217531</v>
      </c>
      <c r="AL43" s="14">
        <f>AL19*(SQRT(AK7))</f>
        <v>3.3742697721492982</v>
      </c>
      <c r="AM43" s="14">
        <f>AM19*(SQRT(AK8))</f>
        <v>2.2488158655370465</v>
      </c>
    </row>
    <row r="44" spans="1:39">
      <c r="A44">
        <v>5</v>
      </c>
      <c r="B44" s="5" t="s">
        <v>417</v>
      </c>
      <c r="C44" s="14">
        <f t="shared" si="0"/>
        <v>-4.4789499999999975</v>
      </c>
      <c r="D44" s="14">
        <f t="shared" si="0"/>
        <v>-4.2500000000002203E-2</v>
      </c>
      <c r="E44" s="14">
        <f t="shared" si="0"/>
        <v>3.1344999999999992</v>
      </c>
      <c r="L44" s="5" t="s">
        <v>156</v>
      </c>
      <c r="M44" s="14">
        <v>1374.03709999999</v>
      </c>
      <c r="N44" s="14">
        <v>1036.0621999999901</v>
      </c>
      <c r="O44" s="14">
        <v>427.91619999999898</v>
      </c>
      <c r="P44" s="14">
        <v>266.76369999999901</v>
      </c>
      <c r="Q44" s="14">
        <v>103.64749999999999</v>
      </c>
      <c r="R44" s="14">
        <v>0</v>
      </c>
      <c r="S44" s="14">
        <v>1366.79249999999</v>
      </c>
      <c r="T44" s="14">
        <v>216.97729999999899</v>
      </c>
      <c r="U44" s="14">
        <v>1209.9489000000001</v>
      </c>
      <c r="V44" s="14">
        <v>96.138499999999894</v>
      </c>
      <c r="X44" s="5" t="s">
        <v>156</v>
      </c>
      <c r="Y44" s="14">
        <v>-323.220382499999</v>
      </c>
      <c r="Z44" s="14">
        <v>-219.71985749999899</v>
      </c>
      <c r="AA44" s="14">
        <v>37.250952500000302</v>
      </c>
      <c r="AB44" s="14">
        <v>147.2371775</v>
      </c>
      <c r="AC44" s="14">
        <v>538.38774750000005</v>
      </c>
      <c r="AD44" s="14">
        <v>498.61809749999998</v>
      </c>
      <c r="AE44" s="14">
        <v>-325.88928249999901</v>
      </c>
      <c r="AF44" s="14">
        <v>193.57034250000001</v>
      </c>
      <c r="AG44" s="14">
        <v>1234.0456274999999</v>
      </c>
      <c r="AH44" s="14">
        <v>282.04610750000001</v>
      </c>
      <c r="AJ44" s="5" t="s">
        <v>179</v>
      </c>
      <c r="AK44" s="14">
        <f>AK20*(SQRT(AK6))</f>
        <v>-1.2599766736686984</v>
      </c>
      <c r="AL44" s="14">
        <f>AL20*(SQRT(AK7))</f>
        <v>1.9249446486905801</v>
      </c>
      <c r="AM44" s="14">
        <f>AM20*(SQRT(AK8))</f>
        <v>-0.48096399452306043</v>
      </c>
    </row>
    <row r="45" spans="1:39">
      <c r="A45">
        <v>6</v>
      </c>
      <c r="B45" s="5" t="s">
        <v>179</v>
      </c>
      <c r="C45" s="14">
        <f t="shared" si="0"/>
        <v>0.59105000000000274</v>
      </c>
      <c r="D45" s="14">
        <f t="shared" si="0"/>
        <v>1.9774999999999974</v>
      </c>
      <c r="E45" s="14">
        <f t="shared" si="0"/>
        <v>1.1244999999999994</v>
      </c>
      <c r="L45" s="5" t="s">
        <v>157</v>
      </c>
      <c r="M45" s="14">
        <v>18.506599999999899</v>
      </c>
      <c r="N45" s="14">
        <v>30.386099999999999</v>
      </c>
      <c r="O45" s="14">
        <v>268.03129999999902</v>
      </c>
      <c r="P45" s="14">
        <v>476.56400000000002</v>
      </c>
      <c r="Q45" s="14">
        <v>1597.7198000000001</v>
      </c>
      <c r="R45" s="14">
        <v>1366.79249999999</v>
      </c>
      <c r="S45" s="14">
        <v>0</v>
      </c>
      <c r="T45" s="14">
        <v>585.38459999999895</v>
      </c>
      <c r="U45" s="14">
        <v>5032.1764000000003</v>
      </c>
      <c r="V45" s="14">
        <v>750.20719999999994</v>
      </c>
      <c r="X45" s="5" t="s">
        <v>157</v>
      </c>
      <c r="Y45" s="14">
        <v>213.43373750000001</v>
      </c>
      <c r="Z45" s="14">
        <v>142.00706249999999</v>
      </c>
      <c r="AA45" s="14">
        <v>-23.9177274999997</v>
      </c>
      <c r="AB45" s="14">
        <v>-98.7741024999996</v>
      </c>
      <c r="AC45" s="14">
        <v>-349.75953249999901</v>
      </c>
      <c r="AD45" s="14">
        <v>-325.88928249999901</v>
      </c>
      <c r="AE45" s="14">
        <v>216.3958375</v>
      </c>
      <c r="AF45" s="14">
        <v>-131.74443749999901</v>
      </c>
      <c r="AG45" s="14">
        <v>-818.17925249999905</v>
      </c>
      <c r="AH45" s="14">
        <v>-186.09937249999899</v>
      </c>
      <c r="AJ45" s="5" t="s">
        <v>400</v>
      </c>
      <c r="AK45" s="14">
        <f>AK21*(SQRT(AK6))</f>
        <v>11.684480829116747</v>
      </c>
      <c r="AL45" s="14">
        <f>AL21*(SQRT(AK7))</f>
        <v>-4.9040104594311351E-2</v>
      </c>
      <c r="AM45" s="14">
        <f>AM21*(SQRT(AK8))</f>
        <v>0.14560998621646684</v>
      </c>
    </row>
    <row r="46" spans="1:39">
      <c r="A46">
        <v>7</v>
      </c>
      <c r="B46" s="5" t="s">
        <v>400</v>
      </c>
      <c r="C46" s="14">
        <f t="shared" si="0"/>
        <v>-11.09395</v>
      </c>
      <c r="D46" s="14">
        <f t="shared" si="0"/>
        <v>-2.9825000000000026</v>
      </c>
      <c r="E46" s="14">
        <f t="shared" si="0"/>
        <v>-2.1655000000000006</v>
      </c>
      <c r="L46" s="5" t="s">
        <v>10</v>
      </c>
      <c r="M46" s="14">
        <v>632.28739999999902</v>
      </c>
      <c r="N46" s="14">
        <v>375.38749999999902</v>
      </c>
      <c r="O46" s="14">
        <v>72.427499999999895</v>
      </c>
      <c r="P46" s="14">
        <v>85.202599999999904</v>
      </c>
      <c r="Q46" s="14">
        <v>281.75659999999999</v>
      </c>
      <c r="R46" s="14">
        <v>216.97729999999899</v>
      </c>
      <c r="S46" s="14">
        <v>585.38459999999895</v>
      </c>
      <c r="T46" s="14">
        <v>0</v>
      </c>
      <c r="U46" s="14">
        <v>2203.6669999999999</v>
      </c>
      <c r="V46" s="14">
        <v>32.5306</v>
      </c>
      <c r="X46" s="5" t="s">
        <v>10</v>
      </c>
      <c r="Y46" s="14">
        <v>-148.90463749999901</v>
      </c>
      <c r="Z46" s="14">
        <v>-85.941612499999806</v>
      </c>
      <c r="AA46" s="14">
        <v>18.436197500000102</v>
      </c>
      <c r="AB46" s="14">
        <v>41.458622500000203</v>
      </c>
      <c r="AC46" s="14">
        <v>252.77409249999999</v>
      </c>
      <c r="AD46" s="14">
        <v>193.57034250000001</v>
      </c>
      <c r="AE46" s="14">
        <v>-131.74443749999901</v>
      </c>
      <c r="AF46" s="14">
        <v>105.4998875</v>
      </c>
      <c r="AG46" s="14">
        <v>540.62747249999995</v>
      </c>
      <c r="AH46" s="14">
        <v>117.2909525</v>
      </c>
      <c r="AJ46" s="5" t="s">
        <v>14</v>
      </c>
      <c r="AK46" s="14">
        <f>AK22*(SQRT(AK12))</f>
        <v>0</v>
      </c>
      <c r="AL46" s="14">
        <f>AL22*(SQRT(AK7))</f>
        <v>-1.4844432980610278</v>
      </c>
      <c r="AM46" s="14">
        <f>AM22*(SQRT(AK8))</f>
        <v>-1.6073614341816826</v>
      </c>
    </row>
    <row r="47" spans="1:39">
      <c r="A47">
        <v>8</v>
      </c>
      <c r="B47" s="5" t="s">
        <v>14</v>
      </c>
      <c r="C47" s="14">
        <f t="shared" si="0"/>
        <v>-3.2889499999999998</v>
      </c>
      <c r="D47" s="14">
        <f t="shared" si="0"/>
        <v>-0.91250000000000142</v>
      </c>
      <c r="E47" s="14">
        <f t="shared" si="0"/>
        <v>-2.8955000000000002</v>
      </c>
      <c r="L47" s="5" t="s">
        <v>158</v>
      </c>
      <c r="M47" s="14">
        <v>5101.7954</v>
      </c>
      <c r="N47" s="14">
        <v>4366.2232999999997</v>
      </c>
      <c r="O47" s="14">
        <v>2983.6228999999998</v>
      </c>
      <c r="P47" s="14">
        <v>2572.634</v>
      </c>
      <c r="Q47" s="14">
        <v>1026.6686</v>
      </c>
      <c r="R47" s="14">
        <v>1209.9489000000001</v>
      </c>
      <c r="S47" s="14">
        <v>5032.1764000000003</v>
      </c>
      <c r="T47" s="14">
        <v>2203.6669999999999</v>
      </c>
      <c r="U47" s="14">
        <v>0</v>
      </c>
      <c r="V47" s="14">
        <v>1912.9836</v>
      </c>
      <c r="X47" s="5" t="s">
        <v>158</v>
      </c>
      <c r="Y47" s="14">
        <v>-846.69755249999901</v>
      </c>
      <c r="Z47" s="14">
        <v>-544.398427499999</v>
      </c>
      <c r="AA47" s="14">
        <v>99.799582500000398</v>
      </c>
      <c r="AB47" s="14">
        <v>334.70400749999999</v>
      </c>
      <c r="AC47" s="14">
        <v>1417.2791775000001</v>
      </c>
      <c r="AD47" s="14">
        <v>1234.0456274999999</v>
      </c>
      <c r="AE47" s="14">
        <v>-818.17925249999905</v>
      </c>
      <c r="AF47" s="14">
        <v>540.62747249999995</v>
      </c>
      <c r="AG47" s="14">
        <v>3179.4220574999999</v>
      </c>
      <c r="AH47" s="14">
        <v>714.02553750000004</v>
      </c>
      <c r="AJ47" s="5" t="s">
        <v>376</v>
      </c>
      <c r="AK47" s="14">
        <f>AK23*(SQRT(AK6))</f>
        <v>14.289148141701968</v>
      </c>
      <c r="AL47" s="14">
        <f>AL23*(SQRT(AK7))</f>
        <v>2.7656489671541946</v>
      </c>
      <c r="AM47" s="14">
        <f>AM23*(SQRT(AK8))</f>
        <v>1.3441573943212652</v>
      </c>
    </row>
    <row r="48" spans="1:39">
      <c r="A48">
        <v>9</v>
      </c>
      <c r="B48" s="5" t="s">
        <v>376</v>
      </c>
      <c r="C48" s="14">
        <f t="shared" si="0"/>
        <v>-14.408950000000001</v>
      </c>
      <c r="D48" s="14">
        <f t="shared" si="0"/>
        <v>-2.4525000000000023</v>
      </c>
      <c r="E48" s="14">
        <f t="shared" si="0"/>
        <v>3.4499999999999531E-2</v>
      </c>
      <c r="L48" s="61" t="s">
        <v>11</v>
      </c>
      <c r="M48" s="62">
        <v>767.67259999999897</v>
      </c>
      <c r="N48" s="62">
        <v>507.9513</v>
      </c>
      <c r="O48" s="62">
        <v>121.5981</v>
      </c>
      <c r="P48" s="62">
        <v>63.9848</v>
      </c>
      <c r="Q48" s="62">
        <v>215.05940000000001</v>
      </c>
      <c r="R48" s="62">
        <v>96.138499999999894</v>
      </c>
      <c r="S48" s="62">
        <v>750.20719999999994</v>
      </c>
      <c r="T48" s="62">
        <v>32.5306</v>
      </c>
      <c r="U48" s="62">
        <v>1912.9836</v>
      </c>
      <c r="V48" s="62">
        <v>0</v>
      </c>
      <c r="X48" s="61" t="s">
        <v>11</v>
      </c>
      <c r="Y48" s="62">
        <v>-188.54087249999901</v>
      </c>
      <c r="Z48" s="62">
        <v>-124.167147499999</v>
      </c>
      <c r="AA48" s="62">
        <v>21.907262500000101</v>
      </c>
      <c r="AB48" s="62">
        <v>80.123887500000194</v>
      </c>
      <c r="AC48" s="62">
        <v>314.1790575</v>
      </c>
      <c r="AD48" s="62">
        <v>282.04610750000001</v>
      </c>
      <c r="AE48" s="62">
        <v>-186.09937249999899</v>
      </c>
      <c r="AF48" s="62">
        <v>117.2909525</v>
      </c>
      <c r="AG48" s="62">
        <v>714.02553750000004</v>
      </c>
      <c r="AH48" s="62">
        <v>161.6126175</v>
      </c>
      <c r="AJ48" s="5" t="s">
        <v>16</v>
      </c>
      <c r="AK48" s="14">
        <f>AK24*(SQRT(AK6))</f>
        <v>23.184624223553065</v>
      </c>
      <c r="AL48" s="14">
        <f>AL24*(SQRT(AK7))</f>
        <v>0.89132613645147962</v>
      </c>
      <c r="AM48" s="14">
        <f>AM24*(SQRT(AK8))</f>
        <v>-1.0272015341912588</v>
      </c>
    </row>
    <row r="49" spans="1:39">
      <c r="A49">
        <v>10</v>
      </c>
      <c r="B49" s="5" t="s">
        <v>16</v>
      </c>
      <c r="C49" s="14">
        <f t="shared" si="0"/>
        <v>-22.338949999999997</v>
      </c>
      <c r="D49" s="14">
        <f t="shared" si="0"/>
        <v>-4.342500000000002</v>
      </c>
      <c r="E49" s="14">
        <f t="shared" si="0"/>
        <v>-4.6355000000000004</v>
      </c>
      <c r="Q49" s="17"/>
      <c r="R49" s="17"/>
      <c r="S49" s="17"/>
      <c r="T49" s="17"/>
      <c r="U49" s="17"/>
      <c r="V49" s="17"/>
      <c r="AC49" s="17"/>
      <c r="AD49" s="17"/>
      <c r="AE49" s="17"/>
      <c r="AF49" s="17"/>
      <c r="AG49" s="17"/>
      <c r="AH49" s="17"/>
      <c r="AJ49" s="5" t="s">
        <v>377</v>
      </c>
      <c r="AK49" s="14">
        <f>AK25*(SQRT(AK6))</f>
        <v>15.049482892901711</v>
      </c>
      <c r="AL49" s="14">
        <f>AL25*(SQRT(AK7))</f>
        <v>1.5312567756413407</v>
      </c>
      <c r="AM49" s="14">
        <f>AM25*(SQRT(AK8))</f>
        <v>-0.38299505765648317</v>
      </c>
    </row>
    <row r="50" spans="1:39">
      <c r="A50">
        <v>11</v>
      </c>
      <c r="B50" s="5" t="s">
        <v>377</v>
      </c>
      <c r="C50" s="14">
        <f t="shared" si="0"/>
        <v>-14.78895</v>
      </c>
      <c r="D50" s="14">
        <f t="shared" si="0"/>
        <v>-2.342500000000002</v>
      </c>
      <c r="E50" s="14">
        <f t="shared" si="0"/>
        <v>-2.1855000000000002</v>
      </c>
      <c r="Q50" s="17"/>
      <c r="R50" s="17"/>
      <c r="S50" s="17"/>
      <c r="T50" s="17"/>
      <c r="U50" s="17"/>
      <c r="V50" s="17"/>
      <c r="AC50" s="17"/>
      <c r="AD50" s="17"/>
      <c r="AE50" s="17"/>
      <c r="AF50" s="17"/>
      <c r="AG50" s="17"/>
      <c r="AH50" s="17"/>
      <c r="AJ50" s="5" t="s">
        <v>272</v>
      </c>
      <c r="AK50" s="14">
        <f>AK26*(SQRT(AK6))</f>
        <v>9.6893154985881775</v>
      </c>
      <c r="AL50" s="14">
        <f>AL26*(SQRT(AK7))</f>
        <v>-0.5736276265133109</v>
      </c>
      <c r="AM50" s="14">
        <f>AM26*(SQRT(AK8))</f>
        <v>1.9474468154434459</v>
      </c>
    </row>
    <row r="51" spans="1:39">
      <c r="A51">
        <v>12</v>
      </c>
      <c r="B51" s="5" t="s">
        <v>272</v>
      </c>
      <c r="C51" s="14">
        <f t="shared" si="0"/>
        <v>-8.9849499999999978</v>
      </c>
      <c r="D51" s="14">
        <f t="shared" si="0"/>
        <v>-4.0725000000000025</v>
      </c>
      <c r="E51" s="14">
        <f t="shared" si="0"/>
        <v>-0.78550000000000075</v>
      </c>
      <c r="Q51" s="17"/>
      <c r="R51" s="17"/>
      <c r="S51" s="17"/>
      <c r="T51" s="17"/>
      <c r="U51" s="17"/>
      <c r="V51" s="17"/>
      <c r="AC51" s="17"/>
      <c r="AD51" s="17"/>
      <c r="AE51" s="17"/>
      <c r="AF51" s="17"/>
      <c r="AG51" s="17"/>
      <c r="AH51" s="17"/>
      <c r="AJ51" s="5" t="s">
        <v>221</v>
      </c>
      <c r="AK51" s="14">
        <f>AK27*(SQRT(AK6))</f>
        <v>-1.7914159266807244</v>
      </c>
      <c r="AL51" s="14">
        <f>AL27*(SQRT(AK7))</f>
        <v>-0.74934435861214177</v>
      </c>
      <c r="AM51" s="14">
        <f>AM27*(SQRT(AK8))</f>
        <v>-0.17123111314305917</v>
      </c>
    </row>
    <row r="52" spans="1:39">
      <c r="A52">
        <v>13</v>
      </c>
      <c r="B52" s="5" t="s">
        <v>221</v>
      </c>
      <c r="C52" s="14">
        <f t="shared" si="0"/>
        <v>1.931049999999999</v>
      </c>
      <c r="D52" s="14">
        <f t="shared" si="0"/>
        <v>2.7499999999998082E-2</v>
      </c>
      <c r="E52" s="14">
        <f t="shared" si="0"/>
        <v>-0.2654999999999994</v>
      </c>
      <c r="AJ52" s="5" t="s">
        <v>181</v>
      </c>
      <c r="AK52" s="14">
        <f>AK28*(SQRT(AK6))</f>
        <v>-5.8351237275849677</v>
      </c>
      <c r="AL52" s="14">
        <f>AL28*(SQRT(AK7))</f>
        <v>5.2979672877228277</v>
      </c>
      <c r="AM52" s="14">
        <f>AM28*(SQRT(AK8))</f>
        <v>-0.70907487836419336</v>
      </c>
    </row>
    <row r="53" spans="1:39">
      <c r="A53">
        <v>14</v>
      </c>
      <c r="B53" s="5" t="s">
        <v>181</v>
      </c>
      <c r="C53" s="14">
        <f t="shared" si="0"/>
        <v>3.8910499999999999</v>
      </c>
      <c r="D53" s="14">
        <f t="shared" si="0"/>
        <v>5.6074999999999982</v>
      </c>
      <c r="E53" s="14">
        <f t="shared" si="0"/>
        <v>4.0045000000000002</v>
      </c>
      <c r="AJ53" s="5" t="s">
        <v>182</v>
      </c>
      <c r="AK53" s="14">
        <f>AK29*(SQRT(AK6))</f>
        <v>-25.320559618144578</v>
      </c>
      <c r="AL53" s="14">
        <f>AL29*(SQRT(AK7))</f>
        <v>-6.1894131022542886</v>
      </c>
      <c r="AM53" s="14">
        <f>AM29*(SQRT(AK8))</f>
        <v>-1.5380559223545074</v>
      </c>
    </row>
    <row r="54" spans="1:39">
      <c r="A54">
        <v>15</v>
      </c>
      <c r="B54" s="5" t="s">
        <v>182</v>
      </c>
      <c r="C54" s="14">
        <f t="shared" si="0"/>
        <v>25.951050000000002</v>
      </c>
      <c r="D54" s="14">
        <f t="shared" si="0"/>
        <v>2.8774999999999977</v>
      </c>
      <c r="E54" s="14">
        <f t="shared" si="0"/>
        <v>-0.2654999999999994</v>
      </c>
      <c r="AJ54" s="5" t="s">
        <v>156</v>
      </c>
      <c r="AK54" s="14">
        <f>AK30*(SQRT(AK6))</f>
        <v>-21.887137122516265</v>
      </c>
      <c r="AL54" s="14">
        <f>AL30*(SQRT(AK7))</f>
        <v>3.2890188971013274</v>
      </c>
      <c r="AM54" s="14">
        <f>AM30*(SQRT(AK8))</f>
        <v>-2.9587023888736907</v>
      </c>
    </row>
    <row r="55" spans="1:39">
      <c r="A55">
        <v>16</v>
      </c>
      <c r="B55" s="5" t="s">
        <v>156</v>
      </c>
      <c r="C55" s="14">
        <f t="shared" si="0"/>
        <v>19.721049999999998</v>
      </c>
      <c r="D55" s="14">
        <f t="shared" si="0"/>
        <v>9.6274999999999977</v>
      </c>
      <c r="E55" s="14">
        <f t="shared" si="0"/>
        <v>4.1244999999999994</v>
      </c>
      <c r="AJ55" s="5" t="s">
        <v>157</v>
      </c>
      <c r="AK55" s="14">
        <f>AK31*(SQRT(AK6))</f>
        <v>14.460696897609228</v>
      </c>
      <c r="AL55" s="14">
        <f>AL31*(SQRT(AK7))</f>
        <v>-2.6929982900665768</v>
      </c>
      <c r="AM55" s="14">
        <f>AM31*(SQRT(AK8))</f>
        <v>0.17875170366771587</v>
      </c>
    </row>
    <row r="56" spans="1:39">
      <c r="A56">
        <v>17</v>
      </c>
      <c r="B56" s="5" t="s">
        <v>157</v>
      </c>
      <c r="C56" s="14">
        <f t="shared" ref="C56:E59" si="1">C23-C$32</f>
        <v>-12.908950000000001</v>
      </c>
      <c r="D56" s="14">
        <f t="shared" si="1"/>
        <v>-5.5325000000000024</v>
      </c>
      <c r="E56" s="14">
        <f t="shared" si="1"/>
        <v>-4.3755000000000006</v>
      </c>
      <c r="AJ56" s="5" t="s">
        <v>10</v>
      </c>
      <c r="AK56" s="14">
        <f>AK32*(SQRT(AK6))</f>
        <v>-9.5828635090345902</v>
      </c>
      <c r="AL56" s="14">
        <f>AL32*(SQRT(AK7))</f>
        <v>-2.3467082691785159</v>
      </c>
      <c r="AM56" s="14">
        <f>AM32*(SQRT(AK8))</f>
        <v>2.8568505045557524</v>
      </c>
    </row>
    <row r="57" spans="1:39">
      <c r="A57">
        <v>18</v>
      </c>
      <c r="B57" s="5" t="s">
        <v>10</v>
      </c>
      <c r="C57" s="14">
        <f t="shared" si="1"/>
        <v>9.9010499999999979</v>
      </c>
      <c r="D57" s="14">
        <f t="shared" si="1"/>
        <v>-1.2225000000000019</v>
      </c>
      <c r="E57" s="14">
        <f t="shared" si="1"/>
        <v>2.4444999999999997</v>
      </c>
      <c r="AJ57" s="5" t="s">
        <v>158</v>
      </c>
      <c r="AK57" s="14">
        <f>AK33*(SQRT(AK6))</f>
        <v>-56.358581884086171</v>
      </c>
      <c r="AL57" s="14">
        <f>AL33*(SQRT(AK7))</f>
        <v>1.2685162452228633</v>
      </c>
      <c r="AM57" s="14">
        <f>AM33*(SQRT(AK8))</f>
        <v>1.2349381154064618</v>
      </c>
    </row>
    <row r="58" spans="1:39">
      <c r="A58">
        <v>19</v>
      </c>
      <c r="B58" s="5" t="s">
        <v>158</v>
      </c>
      <c r="C58" s="14">
        <f t="shared" si="1"/>
        <v>53.211050000000007</v>
      </c>
      <c r="D58" s="14">
        <f t="shared" si="1"/>
        <v>13.807499999999997</v>
      </c>
      <c r="E58" s="14">
        <f t="shared" si="1"/>
        <v>12.544499999999999</v>
      </c>
      <c r="AJ58" s="61" t="s">
        <v>11</v>
      </c>
      <c r="AK58" s="62">
        <f>AK34*(SQRT(AK6))</f>
        <v>-12.654301360132161</v>
      </c>
      <c r="AL58" s="62">
        <f>AL34*(SQRT(AK7))</f>
        <v>1.1235893167424289</v>
      </c>
      <c r="AM58" s="62">
        <f>AM34*(SQRT(AK8))</f>
        <v>-0.46788286633221909</v>
      </c>
    </row>
    <row r="59" spans="1:39">
      <c r="A59">
        <v>20</v>
      </c>
      <c r="B59" s="5" t="s">
        <v>11</v>
      </c>
      <c r="C59" s="14">
        <f t="shared" si="1"/>
        <v>11.671050000000001</v>
      </c>
      <c r="D59" s="14">
        <f t="shared" si="1"/>
        <v>4.1874999999999982</v>
      </c>
      <c r="E59" s="14">
        <f t="shared" si="1"/>
        <v>2.8044999999999991</v>
      </c>
    </row>
    <row r="61" spans="1:39">
      <c r="B61" s="6" t="s">
        <v>185</v>
      </c>
      <c r="C61" s="3">
        <f>SUM(C40:C59)</f>
        <v>1.4210854715202004E-14</v>
      </c>
      <c r="D61" s="3">
        <f>SUM(D40:D59)</f>
        <v>-3.730349362740526E-14</v>
      </c>
      <c r="E61" s="3">
        <f>SUM(E40:E59)</f>
        <v>-7.1054273576010019E-15</v>
      </c>
    </row>
    <row r="62" spans="1:39">
      <c r="B62" s="17" t="s">
        <v>51</v>
      </c>
      <c r="C62" s="35">
        <f>MIN(C40:C59)</f>
        <v>-22.338949999999997</v>
      </c>
      <c r="D62" s="35">
        <f>MIN(D40:D59)</f>
        <v>-5.8725000000000023</v>
      </c>
      <c r="E62" s="35">
        <f>MIN(E40:E59)</f>
        <v>-5.2055000000000007</v>
      </c>
    </row>
    <row r="63" spans="1:39">
      <c r="B63" s="17" t="s">
        <v>53</v>
      </c>
      <c r="C63" s="35">
        <f>MAX(C40:C59)</f>
        <v>53.211050000000007</v>
      </c>
      <c r="D63" s="35">
        <f>MAX(D40:D59)</f>
        <v>13.807499999999997</v>
      </c>
      <c r="E63" s="35">
        <f>MAX(E40:E59)</f>
        <v>12.544499999999999</v>
      </c>
    </row>
    <row r="64" spans="1:39">
      <c r="B64" s="17" t="s">
        <v>48</v>
      </c>
      <c r="C64" s="35">
        <f>C63-C62</f>
        <v>75.550000000000011</v>
      </c>
      <c r="D64" s="35">
        <f>D63-D62</f>
        <v>19.68</v>
      </c>
      <c r="E64" s="35">
        <f>E63-E62</f>
        <v>17.75</v>
      </c>
    </row>
    <row r="65" spans="2:5">
      <c r="B65" t="s">
        <v>178</v>
      </c>
      <c r="C65" s="3">
        <f>AVERAGE(C40:C59)</f>
        <v>7.1054273576010023E-16</v>
      </c>
      <c r="D65" s="3">
        <f>AVERAGE(D40:D59)</f>
        <v>-1.8651746813702631E-15</v>
      </c>
      <c r="E65" s="3">
        <f>AVERAGE(E40:E59)</f>
        <v>-3.5527136788005011E-16</v>
      </c>
    </row>
    <row r="66" spans="2:5">
      <c r="B66" t="s">
        <v>330</v>
      </c>
      <c r="C66" s="14">
        <f>VAR(C40:C59)</f>
        <v>346.89414731315793</v>
      </c>
      <c r="D66" s="14">
        <f>VAR(D40:D59)</f>
        <v>27.332851315789473</v>
      </c>
      <c r="E66" s="14">
        <f>VAR(E40:E59)</f>
        <v>18.266110263157895</v>
      </c>
    </row>
    <row r="67" spans="2:5">
      <c r="B67" s="31" t="s">
        <v>184</v>
      </c>
      <c r="C67" s="13">
        <f>STDEV(C40:C59)</f>
        <v>18.625094558502461</v>
      </c>
      <c r="D67" s="13">
        <f>STDEV(D40:D59)</f>
        <v>5.2280829484419495</v>
      </c>
      <c r="E67" s="13">
        <f>STDEV(E40:E59)</f>
        <v>4.2738870204016735</v>
      </c>
    </row>
  </sheetData>
  <phoneticPr fontId="7"/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82"/>
  <sheetViews>
    <sheetView topLeftCell="A51" workbookViewId="0">
      <selection activeCell="B51" sqref="B51"/>
    </sheetView>
  </sheetViews>
  <sheetFormatPr defaultRowHeight="12.75"/>
  <cols>
    <col min="1" max="6" width="11" customWidth="1"/>
    <col min="7" max="10" width="12.25" customWidth="1"/>
    <col min="11" max="256" width="11" customWidth="1"/>
  </cols>
  <sheetData>
    <row r="1" spans="1:10" ht="15">
      <c r="A1" s="57" t="s">
        <v>460</v>
      </c>
    </row>
    <row r="4" spans="1:10" ht="13.5" thickBot="1">
      <c r="B4" s="24" t="s">
        <v>322</v>
      </c>
      <c r="C4" s="10"/>
      <c r="D4" s="11"/>
      <c r="E4" s="10"/>
      <c r="G4" s="10" t="s">
        <v>445</v>
      </c>
      <c r="H4" s="10"/>
      <c r="I4" s="10"/>
      <c r="J4" s="10"/>
    </row>
    <row r="5" spans="1:10" ht="13.5" thickTop="1">
      <c r="C5" s="1" t="s">
        <v>20</v>
      </c>
      <c r="D5" s="1" t="s">
        <v>12</v>
      </c>
      <c r="E5" s="1" t="s">
        <v>12</v>
      </c>
      <c r="H5" s="29" t="s">
        <v>309</v>
      </c>
      <c r="I5" s="29" t="s">
        <v>8</v>
      </c>
      <c r="J5" s="29" t="s">
        <v>345</v>
      </c>
    </row>
    <row r="6" spans="1:10">
      <c r="B6" s="30" t="s">
        <v>444</v>
      </c>
      <c r="C6" s="29" t="s">
        <v>173</v>
      </c>
      <c r="D6" s="29" t="s">
        <v>173</v>
      </c>
      <c r="E6" s="29" t="s">
        <v>174</v>
      </c>
      <c r="G6" t="s">
        <v>309</v>
      </c>
      <c r="H6" s="38">
        <f>CORREL(C7:C26,C7:C26)</f>
        <v>1</v>
      </c>
      <c r="I6" s="38">
        <f>H7</f>
        <v>0.89543107849602177</v>
      </c>
      <c r="J6" s="38">
        <f>H8</f>
        <v>0.85948121238963882</v>
      </c>
    </row>
    <row r="7" spans="1:10">
      <c r="A7">
        <v>1</v>
      </c>
      <c r="B7" s="5" t="s">
        <v>413</v>
      </c>
      <c r="C7" s="14">
        <v>23.14</v>
      </c>
      <c r="D7" s="14">
        <v>3.5</v>
      </c>
      <c r="E7" s="14">
        <v>3.77</v>
      </c>
      <c r="G7" t="s">
        <v>8</v>
      </c>
      <c r="H7" s="38">
        <f>CORREL(C7:C26,D7:D26)</f>
        <v>0.89543107849602177</v>
      </c>
      <c r="I7" s="38">
        <f>CORREL(D7:D26,D7:D26)</f>
        <v>1</v>
      </c>
      <c r="J7" s="38">
        <f>I8</f>
        <v>0.90918237966209525</v>
      </c>
    </row>
    <row r="8" spans="1:10">
      <c r="A8">
        <v>2</v>
      </c>
      <c r="B8" s="5" t="s">
        <v>414</v>
      </c>
      <c r="C8" s="14">
        <v>14.32</v>
      </c>
      <c r="D8" s="14">
        <v>3.97</v>
      </c>
      <c r="E8" s="14">
        <v>4.08</v>
      </c>
      <c r="G8" t="s">
        <v>346</v>
      </c>
      <c r="H8" s="38">
        <f>CORREL(C7:C26,E7:E26)</f>
        <v>0.85948121238963882</v>
      </c>
      <c r="I8" s="38">
        <f>CORREL(D7:D26,E7:E26)</f>
        <v>0.90918237966209525</v>
      </c>
      <c r="J8" s="38">
        <f>CORREL(E7:E26,E7:E26)</f>
        <v>1</v>
      </c>
    </row>
    <row r="9" spans="1:10">
      <c r="A9">
        <v>3</v>
      </c>
      <c r="B9" s="5" t="s">
        <v>415</v>
      </c>
      <c r="C9" s="14">
        <v>51.69</v>
      </c>
      <c r="D9" s="14">
        <v>10.91</v>
      </c>
      <c r="E9" s="14">
        <v>10.72</v>
      </c>
    </row>
    <row r="10" spans="1:10">
      <c r="A10">
        <v>4</v>
      </c>
      <c r="B10" s="5" t="s">
        <v>416</v>
      </c>
      <c r="C10" s="14">
        <v>21.15</v>
      </c>
      <c r="D10" s="14">
        <v>4.9000000000000004</v>
      </c>
      <c r="E10" s="14">
        <v>4.6900000000000004</v>
      </c>
    </row>
    <row r="11" spans="1:10" ht="13.5" thickBot="1">
      <c r="A11">
        <v>5</v>
      </c>
      <c r="B11" s="5" t="s">
        <v>417</v>
      </c>
      <c r="C11" s="14">
        <f>21.16+(21.16/2)</f>
        <v>31.740000000000002</v>
      </c>
      <c r="D11" s="14">
        <v>9.33</v>
      </c>
      <c r="E11" s="14">
        <v>12.11</v>
      </c>
      <c r="G11" s="10" t="s">
        <v>347</v>
      </c>
      <c r="H11" s="10"/>
      <c r="I11" s="10"/>
    </row>
    <row r="12" spans="1:10" ht="13.5" thickTop="1">
      <c r="A12">
        <v>6</v>
      </c>
      <c r="B12" s="5" t="s">
        <v>179</v>
      </c>
      <c r="C12" s="14">
        <v>36.81</v>
      </c>
      <c r="D12" s="14">
        <v>11.35</v>
      </c>
      <c r="E12" s="14">
        <v>10.1</v>
      </c>
      <c r="G12" s="29" t="s">
        <v>348</v>
      </c>
      <c r="H12" s="29" t="s">
        <v>330</v>
      </c>
      <c r="I12" s="29" t="s">
        <v>349</v>
      </c>
    </row>
    <row r="13" spans="1:10">
      <c r="A13">
        <v>7</v>
      </c>
      <c r="B13" s="5" t="s">
        <v>400</v>
      </c>
      <c r="C13" s="14">
        <f>16.75+(16.75/2)</f>
        <v>25.125</v>
      </c>
      <c r="D13" s="14">
        <v>6.39</v>
      </c>
      <c r="E13" s="14">
        <v>6.81</v>
      </c>
      <c r="G13" s="38">
        <v>2.77622667784444</v>
      </c>
      <c r="H13" s="38">
        <f>(G13/3)*100</f>
        <v>92.540889261481325</v>
      </c>
      <c r="I13" s="38">
        <f>H13</f>
        <v>92.540889261481325</v>
      </c>
    </row>
    <row r="14" spans="1:10">
      <c r="A14">
        <v>8</v>
      </c>
      <c r="B14" s="5" t="s">
        <v>14</v>
      </c>
      <c r="C14" s="14">
        <v>32.93</v>
      </c>
      <c r="D14" s="14">
        <v>8.4600000000000009</v>
      </c>
      <c r="E14" s="14">
        <v>6.08</v>
      </c>
      <c r="G14" s="38">
        <v>0.14157608614144401</v>
      </c>
      <c r="H14" s="38">
        <f>(G14/3)*100</f>
        <v>4.7192028713814675</v>
      </c>
      <c r="I14" s="38">
        <f>H14+I13</f>
        <v>97.260092132862795</v>
      </c>
    </row>
    <row r="15" spans="1:10">
      <c r="A15">
        <v>9</v>
      </c>
      <c r="B15" s="5" t="s">
        <v>376</v>
      </c>
      <c r="C15" s="14">
        <v>21.81</v>
      </c>
      <c r="D15" s="14">
        <v>6.92</v>
      </c>
      <c r="E15" s="14">
        <v>9.01</v>
      </c>
      <c r="G15" s="38">
        <v>8.2197236014111705E-2</v>
      </c>
      <c r="H15" s="38">
        <f>(G15/3)*100</f>
        <v>2.7399078671370569</v>
      </c>
      <c r="I15" s="38">
        <f>H15+I14</f>
        <v>99.999999999999858</v>
      </c>
    </row>
    <row r="16" spans="1:10">
      <c r="A16">
        <v>10</v>
      </c>
      <c r="B16" s="5" t="s">
        <v>16</v>
      </c>
      <c r="C16" s="14">
        <v>13.88</v>
      </c>
      <c r="D16" s="14">
        <v>5.03</v>
      </c>
      <c r="E16" s="14">
        <v>4.34</v>
      </c>
    </row>
    <row r="17" spans="1:15">
      <c r="A17">
        <v>11</v>
      </c>
      <c r="B17" s="5" t="s">
        <v>377</v>
      </c>
      <c r="C17" s="14">
        <v>21.43</v>
      </c>
      <c r="D17" s="14">
        <v>7.03</v>
      </c>
      <c r="E17" s="14">
        <v>6.79</v>
      </c>
      <c r="G17" s="18"/>
    </row>
    <row r="18" spans="1:15" ht="13.5" thickBot="1">
      <c r="A18">
        <v>12</v>
      </c>
      <c r="B18" s="5" t="s">
        <v>272</v>
      </c>
      <c r="C18" s="14">
        <f>15.13+(15.13*0.8)</f>
        <v>27.234000000000002</v>
      </c>
      <c r="D18" s="14">
        <v>5.3</v>
      </c>
      <c r="E18" s="14">
        <v>8.19</v>
      </c>
      <c r="G18" s="10" t="s">
        <v>350</v>
      </c>
      <c r="H18" s="10"/>
      <c r="I18" s="10"/>
    </row>
    <row r="19" spans="1:15" ht="13.5" thickTop="1">
      <c r="A19">
        <v>13</v>
      </c>
      <c r="B19" s="5" t="s">
        <v>221</v>
      </c>
      <c r="C19" s="14">
        <v>38.15</v>
      </c>
      <c r="D19" s="14">
        <v>9.4</v>
      </c>
      <c r="E19" s="14">
        <v>8.7100000000000009</v>
      </c>
      <c r="G19" s="29" t="s">
        <v>391</v>
      </c>
      <c r="H19" s="29" t="s">
        <v>394</v>
      </c>
      <c r="I19" s="29" t="s">
        <v>395</v>
      </c>
    </row>
    <row r="20" spans="1:15">
      <c r="A20">
        <v>14</v>
      </c>
      <c r="B20" s="5" t="s">
        <v>181</v>
      </c>
      <c r="C20" s="14">
        <v>40.11</v>
      </c>
      <c r="D20" s="14">
        <v>14.98</v>
      </c>
      <c r="E20" s="14">
        <v>12.98</v>
      </c>
      <c r="G20" s="1" t="s">
        <v>309</v>
      </c>
      <c r="H20" s="54">
        <v>0.57274747816437821</v>
      </c>
      <c r="I20" s="54">
        <v>-0.75730287904083704</v>
      </c>
    </row>
    <row r="21" spans="1:15">
      <c r="A21">
        <v>15</v>
      </c>
      <c r="B21" s="5" t="s">
        <v>182</v>
      </c>
      <c r="C21" s="14">
        <v>62.17</v>
      </c>
      <c r="D21" s="14">
        <v>12.25</v>
      </c>
      <c r="E21" s="14">
        <v>8.7100000000000009</v>
      </c>
      <c r="G21" s="1" t="s">
        <v>8</v>
      </c>
      <c r="H21" s="54">
        <v>0.58345899716636596</v>
      </c>
      <c r="I21" s="54">
        <v>0.10775092251499099</v>
      </c>
    </row>
    <row r="22" spans="1:15">
      <c r="A22">
        <v>16</v>
      </c>
      <c r="B22" s="5" t="s">
        <v>156</v>
      </c>
      <c r="C22" s="14">
        <v>55.94</v>
      </c>
      <c r="D22" s="14">
        <v>19</v>
      </c>
      <c r="E22" s="14">
        <v>13.1</v>
      </c>
      <c r="G22" s="1" t="s">
        <v>346</v>
      </c>
      <c r="H22" s="54">
        <v>0.57579156374678242</v>
      </c>
      <c r="I22" s="54">
        <v>0.64411341244661902</v>
      </c>
    </row>
    <row r="23" spans="1:15">
      <c r="A23">
        <v>17</v>
      </c>
      <c r="B23" s="5" t="s">
        <v>157</v>
      </c>
      <c r="C23" s="14">
        <v>23.31</v>
      </c>
      <c r="D23" s="14">
        <v>3.84</v>
      </c>
      <c r="E23" s="14">
        <v>4.5999999999999996</v>
      </c>
    </row>
    <row r="24" spans="1:15">
      <c r="A24">
        <v>18</v>
      </c>
      <c r="B24" s="5" t="s">
        <v>10</v>
      </c>
      <c r="C24" s="14">
        <v>46.12</v>
      </c>
      <c r="D24" s="14">
        <v>8.15</v>
      </c>
      <c r="E24" s="14">
        <v>11.42</v>
      </c>
    </row>
    <row r="25" spans="1:15" ht="13.5" thickBot="1">
      <c r="A25">
        <v>19</v>
      </c>
      <c r="B25" s="5" t="s">
        <v>158</v>
      </c>
      <c r="C25" s="14">
        <v>89.43</v>
      </c>
      <c r="D25" s="14">
        <v>23.18</v>
      </c>
      <c r="E25" s="14">
        <v>21.52</v>
      </c>
      <c r="G25" s="24" t="s">
        <v>151</v>
      </c>
      <c r="H25" s="10"/>
      <c r="I25" s="10"/>
      <c r="J25" s="10"/>
      <c r="L25" s="24" t="s">
        <v>159</v>
      </c>
      <c r="M25" s="10"/>
      <c r="N25" s="10"/>
      <c r="O25" s="10"/>
    </row>
    <row r="26" spans="1:15" ht="13.5" thickTop="1">
      <c r="A26">
        <v>20</v>
      </c>
      <c r="B26" s="5" t="s">
        <v>11</v>
      </c>
      <c r="C26" s="14">
        <v>47.89</v>
      </c>
      <c r="D26" s="14">
        <v>13.56</v>
      </c>
      <c r="E26" s="14">
        <v>11.78</v>
      </c>
      <c r="G26" s="29" t="s">
        <v>391</v>
      </c>
      <c r="H26" s="29" t="s">
        <v>394</v>
      </c>
      <c r="I26" s="29" t="s">
        <v>395</v>
      </c>
      <c r="J26" s="29" t="s">
        <v>314</v>
      </c>
      <c r="L26" s="29" t="s">
        <v>391</v>
      </c>
      <c r="M26" s="29" t="s">
        <v>394</v>
      </c>
      <c r="N26" s="29" t="s">
        <v>395</v>
      </c>
      <c r="O26" s="29" t="s">
        <v>314</v>
      </c>
    </row>
    <row r="27" spans="1:15">
      <c r="G27" s="1" t="s">
        <v>309</v>
      </c>
      <c r="H27" s="54">
        <f>SQRT(G13)*H20</f>
        <v>0.954312576485567</v>
      </c>
      <c r="I27" s="54">
        <f>SQRT(G14)*I20</f>
        <v>-0.28494730836529064</v>
      </c>
      <c r="J27" s="38">
        <f>(H27^2)+(I27^2)</f>
        <v>0.99190746218314518</v>
      </c>
      <c r="L27" s="1" t="s">
        <v>309</v>
      </c>
      <c r="M27" s="54">
        <v>0.50111799999999995</v>
      </c>
      <c r="N27" s="54">
        <v>-0.86068999999999996</v>
      </c>
      <c r="O27" s="38">
        <f>(M27^2)+(N27^2)</f>
        <v>0.99190652602399987</v>
      </c>
    </row>
    <row r="28" spans="1:15">
      <c r="B28" s="6" t="s">
        <v>185</v>
      </c>
      <c r="C28" s="3">
        <f>SUM(C7:C26)</f>
        <v>724.37900000000002</v>
      </c>
      <c r="D28" s="3">
        <f>SUM(D7:D26)</f>
        <v>187.45000000000005</v>
      </c>
      <c r="E28" s="3">
        <f>SUM(E7:E26)</f>
        <v>179.51</v>
      </c>
      <c r="G28" s="1" t="s">
        <v>8</v>
      </c>
      <c r="H28" s="54">
        <f>SQRT(G13)*H21</f>
        <v>0.97216012306861321</v>
      </c>
      <c r="I28" s="54">
        <f>SQRT(G14)*I21</f>
        <v>4.0543006232078543E-2</v>
      </c>
      <c r="J28" s="38">
        <f>(H28^2)+(I28^2)</f>
        <v>0.94673904023911559</v>
      </c>
      <c r="L28" s="1" t="s">
        <v>8</v>
      </c>
      <c r="M28" s="54">
        <v>0.73679700000000004</v>
      </c>
      <c r="N28" s="54">
        <v>-0.63550799999999996</v>
      </c>
      <c r="O28" s="38">
        <f>(M28^2)+(N28^2)</f>
        <v>0.94674023727299994</v>
      </c>
    </row>
    <row r="29" spans="1:15">
      <c r="B29" t="s">
        <v>178</v>
      </c>
      <c r="C29" s="3">
        <f>AVERAGE(C7:C26)</f>
        <v>36.21895</v>
      </c>
      <c r="D29" s="3">
        <f>AVERAGE(D7:D26)</f>
        <v>9.3725000000000023</v>
      </c>
      <c r="E29" s="3">
        <f>AVERAGE(E7:E26)</f>
        <v>8.9755000000000003</v>
      </c>
      <c r="G29" s="1" t="s">
        <v>346</v>
      </c>
      <c r="H29" s="54">
        <f>SQRT(G13)*H22</f>
        <v>0.95938463575415966</v>
      </c>
      <c r="I29" s="54">
        <f>SQRT(G14)*I22</f>
        <v>0.24235796302677098</v>
      </c>
      <c r="J29" s="38">
        <f>(H29^2)+(I29^2)</f>
        <v>0.97915626156362734</v>
      </c>
      <c r="L29" s="1" t="s">
        <v>346</v>
      </c>
      <c r="M29" s="54">
        <v>0.86555780000000004</v>
      </c>
      <c r="N29" s="54">
        <v>-0.47955100000000001</v>
      </c>
      <c r="O29" s="38">
        <f>(M29^2)+(N29^2)</f>
        <v>0.97915946674184007</v>
      </c>
    </row>
    <row r="30" spans="1:15">
      <c r="B30" t="s">
        <v>330</v>
      </c>
      <c r="C30" s="14">
        <f>VAR(C7:C26)</f>
        <v>346.89414731315782</v>
      </c>
      <c r="D30" s="14">
        <f>VAR(D7:D26)</f>
        <v>27.332851315789412</v>
      </c>
      <c r="E30" s="14">
        <f>VAR(E7:E26)</f>
        <v>18.266110263157913</v>
      </c>
    </row>
    <row r="31" spans="1:15">
      <c r="B31" s="31" t="s">
        <v>184</v>
      </c>
      <c r="C31" s="13">
        <f>STDEV(C7:C26)</f>
        <v>18.625094558502457</v>
      </c>
      <c r="D31" s="13">
        <f>STDEV(D7:D26)</f>
        <v>5.2280829484419442</v>
      </c>
      <c r="E31" s="13">
        <f>STDEV(E7:E26)</f>
        <v>4.2738870204016752</v>
      </c>
    </row>
    <row r="36" spans="1:15" ht="13.5" thickBot="1">
      <c r="B36" s="24" t="s">
        <v>315</v>
      </c>
      <c r="C36" s="10"/>
      <c r="D36" s="11"/>
      <c r="E36" s="10"/>
    </row>
    <row r="37" spans="1:15" ht="13.5" thickTop="1">
      <c r="C37" s="1" t="s">
        <v>20</v>
      </c>
      <c r="D37" s="1" t="s">
        <v>12</v>
      </c>
      <c r="E37" s="1" t="s">
        <v>12</v>
      </c>
      <c r="O37" s="38"/>
    </row>
    <row r="38" spans="1:15">
      <c r="B38" s="30" t="s">
        <v>444</v>
      </c>
      <c r="C38" s="29" t="s">
        <v>173</v>
      </c>
      <c r="D38" s="29" t="s">
        <v>173</v>
      </c>
      <c r="E38" s="29" t="s">
        <v>174</v>
      </c>
      <c r="O38" s="38"/>
    </row>
    <row r="39" spans="1:15">
      <c r="A39">
        <v>1</v>
      </c>
      <c r="B39" s="5" t="s">
        <v>413</v>
      </c>
      <c r="C39" s="14">
        <v>-0.70222173303767488</v>
      </c>
      <c r="D39" s="14">
        <v>-1.1232570149767602</v>
      </c>
      <c r="E39" s="14">
        <v>-1.2179742155876367</v>
      </c>
    </row>
    <row r="40" spans="1:15">
      <c r="A40">
        <v>2</v>
      </c>
      <c r="B40" s="5" t="s">
        <v>414</v>
      </c>
      <c r="C40" s="14">
        <v>-1.1757762374430205</v>
      </c>
      <c r="D40" s="14">
        <v>-1.0333581989632945</v>
      </c>
      <c r="E40" s="14">
        <v>-1.145440932169681</v>
      </c>
    </row>
    <row r="41" spans="1:15">
      <c r="A41">
        <v>3</v>
      </c>
      <c r="B41" s="5" t="s">
        <v>415</v>
      </c>
      <c r="C41" s="14">
        <v>0.83065594278688426</v>
      </c>
      <c r="D41" s="14">
        <v>0.29408389281000735</v>
      </c>
      <c r="E41" s="14">
        <v>0.40817520297620447</v>
      </c>
    </row>
    <row r="42" spans="1:15">
      <c r="A42">
        <v>4</v>
      </c>
      <c r="B42" s="5" t="s">
        <v>416</v>
      </c>
      <c r="C42" s="14">
        <v>-0.80906679695679495</v>
      </c>
      <c r="D42" s="14">
        <v>-0.85547330770260699</v>
      </c>
      <c r="E42" s="14">
        <v>-1.002714148669833</v>
      </c>
    </row>
    <row r="43" spans="1:15">
      <c r="A43">
        <v>5</v>
      </c>
      <c r="B43" s="5" t="s">
        <v>417</v>
      </c>
      <c r="C43" s="14">
        <v>-0.240479245749016</v>
      </c>
      <c r="D43" s="14">
        <v>-8.1291482565368726E-3</v>
      </c>
      <c r="E43" s="14">
        <v>0.73340508668897242</v>
      </c>
    </row>
    <row r="44" spans="1:15">
      <c r="A44">
        <v>6</v>
      </c>
      <c r="B44" s="5" t="s">
        <v>179</v>
      </c>
      <c r="C44" s="14">
        <v>3.1734057803716638E-2</v>
      </c>
      <c r="D44" s="14">
        <v>0.37824448652474113</v>
      </c>
      <c r="E44" s="14">
        <v>0.26310863614029323</v>
      </c>
    </row>
    <row r="45" spans="1:15">
      <c r="A45">
        <v>7</v>
      </c>
      <c r="B45" s="5" t="s">
        <v>400</v>
      </c>
      <c r="C45" s="14">
        <v>-0.59564512405302517</v>
      </c>
      <c r="D45" s="14">
        <v>-0.57047493353225853</v>
      </c>
      <c r="E45" s="14">
        <v>-0.50668008142446019</v>
      </c>
    </row>
    <row r="46" spans="1:15">
      <c r="A46">
        <v>8</v>
      </c>
      <c r="B46" s="5" t="s">
        <v>14</v>
      </c>
      <c r="C46" s="14">
        <v>-0.17658697134512027</v>
      </c>
      <c r="D46" s="14">
        <v>-0.17453759491976045</v>
      </c>
      <c r="E46" s="14">
        <v>-0.67748426495706493</v>
      </c>
    </row>
    <row r="47" spans="1:15">
      <c r="A47">
        <v>9</v>
      </c>
      <c r="B47" s="5" t="s">
        <v>376</v>
      </c>
      <c r="C47" s="14">
        <v>-0.77363074560673506</v>
      </c>
      <c r="D47" s="14">
        <v>-0.46909967292132904</v>
      </c>
      <c r="E47" s="14">
        <v>8.0722525094175171E-3</v>
      </c>
    </row>
    <row r="48" spans="1:15">
      <c r="A48">
        <v>10</v>
      </c>
      <c r="B48" s="5" t="s">
        <v>16</v>
      </c>
      <c r="C48" s="14">
        <v>-1.1994002716763936</v>
      </c>
      <c r="D48" s="14">
        <v>-0.83060767774143573</v>
      </c>
      <c r="E48" s="14">
        <v>-1.0846065654320409</v>
      </c>
    </row>
    <row r="49" spans="1:15">
      <c r="A49">
        <v>11</v>
      </c>
      <c r="B49" s="5" t="s">
        <v>377</v>
      </c>
      <c r="C49" s="14">
        <v>-0.79403332062646648</v>
      </c>
      <c r="D49" s="14">
        <v>-0.44805952449264552</v>
      </c>
      <c r="E49" s="14">
        <v>-0.51135964809658629</v>
      </c>
    </row>
    <row r="50" spans="1:15">
      <c r="A50">
        <v>12</v>
      </c>
      <c r="B50" s="5" t="s">
        <v>272</v>
      </c>
      <c r="C50" s="14">
        <v>-0.48241083269351565</v>
      </c>
      <c r="D50" s="14">
        <v>-0.77896367705284908</v>
      </c>
      <c r="E50" s="14">
        <v>-0.18378998104775515</v>
      </c>
    </row>
    <row r="51" spans="1:15">
      <c r="A51">
        <v>13</v>
      </c>
      <c r="B51" s="5" t="s">
        <v>221</v>
      </c>
      <c r="C51" s="14">
        <v>0.10367998024171678</v>
      </c>
      <c r="D51" s="14">
        <v>5.2600371071708377E-3</v>
      </c>
      <c r="E51" s="14">
        <v>-6.2121247572474649E-2</v>
      </c>
    </row>
    <row r="52" spans="1:15">
      <c r="A52">
        <v>14</v>
      </c>
      <c r="B52" s="5" t="s">
        <v>181</v>
      </c>
      <c r="C52" s="14">
        <v>0.20891431455401582</v>
      </c>
      <c r="D52" s="14">
        <v>1.0725693846712954</v>
      </c>
      <c r="E52" s="14">
        <v>0.93696623692646064</v>
      </c>
    </row>
    <row r="53" spans="1:15">
      <c r="A53">
        <v>15</v>
      </c>
      <c r="B53" s="5" t="s">
        <v>182</v>
      </c>
      <c r="C53" s="14">
        <v>1.3933374854363199</v>
      </c>
      <c r="D53" s="14">
        <v>0.5503911554866967</v>
      </c>
      <c r="E53" s="14">
        <v>-6.2121247572474649E-2</v>
      </c>
    </row>
    <row r="54" spans="1:15" ht="13.5" thickBot="1">
      <c r="A54">
        <v>16</v>
      </c>
      <c r="B54" s="5" t="s">
        <v>156</v>
      </c>
      <c r="C54" s="14">
        <v>1.0588426370865123</v>
      </c>
      <c r="D54" s="14">
        <v>1.8414911727013636</v>
      </c>
      <c r="E54" s="14">
        <v>0.96504363695921735</v>
      </c>
      <c r="G54" s="24" t="s">
        <v>153</v>
      </c>
      <c r="H54" s="10"/>
      <c r="I54" s="10"/>
      <c r="L54" s="24" t="s">
        <v>235</v>
      </c>
      <c r="M54" s="10"/>
      <c r="N54" s="10"/>
    </row>
    <row r="55" spans="1:15" ht="13.5" thickTop="1">
      <c r="A55">
        <v>17</v>
      </c>
      <c r="B55" s="5" t="s">
        <v>157</v>
      </c>
      <c r="C55" s="14">
        <v>-0.69309426526568985</v>
      </c>
      <c r="D55" s="14">
        <v>-1.0582238289244659</v>
      </c>
      <c r="E55" s="14">
        <v>-1.0237721986944011</v>
      </c>
      <c r="G55" s="29" t="s">
        <v>391</v>
      </c>
      <c r="H55" s="29" t="s">
        <v>394</v>
      </c>
      <c r="I55" s="29" t="s">
        <v>395</v>
      </c>
      <c r="L55" s="29" t="s">
        <v>391</v>
      </c>
      <c r="M55" s="29" t="s">
        <v>394</v>
      </c>
      <c r="N55" s="29" t="s">
        <v>395</v>
      </c>
    </row>
    <row r="56" spans="1:15">
      <c r="A56">
        <v>18</v>
      </c>
      <c r="B56" s="5" t="s">
        <v>10</v>
      </c>
      <c r="C56" s="14">
        <v>0.53159714578713657</v>
      </c>
      <c r="D56" s="14">
        <v>-0.233832558673323</v>
      </c>
      <c r="E56" s="14">
        <v>0.57196003650061988</v>
      </c>
      <c r="G56" s="1" t="s">
        <v>309</v>
      </c>
      <c r="H56" s="54">
        <v>0.34374450000000001</v>
      </c>
      <c r="I56" s="54">
        <v>-2.0126300000000001</v>
      </c>
      <c r="L56" s="1" t="s">
        <v>309</v>
      </c>
      <c r="M56" s="54">
        <v>-1.12615</v>
      </c>
      <c r="N56" s="54">
        <v>-1.70312</v>
      </c>
    </row>
    <row r="57" spans="1:15">
      <c r="A57">
        <v>19</v>
      </c>
      <c r="B57" s="5" t="s">
        <v>158</v>
      </c>
      <c r="C57" s="14">
        <v>2.8569537881675808</v>
      </c>
      <c r="D57" s="14">
        <v>2.6410168129913347</v>
      </c>
      <c r="E57" s="14">
        <v>2.9351412059243311</v>
      </c>
      <c r="G57" s="1" t="s">
        <v>8</v>
      </c>
      <c r="H57" s="54">
        <v>0.35017500000000001</v>
      </c>
      <c r="I57" s="54">
        <v>0.28627000000000002</v>
      </c>
      <c r="L57" s="1" t="s">
        <v>8</v>
      </c>
      <c r="M57" s="54">
        <v>0.45124999999999998</v>
      </c>
      <c r="N57" s="54">
        <v>-3.0759999999999999E-2</v>
      </c>
    </row>
    <row r="58" spans="1:15">
      <c r="A58">
        <v>20</v>
      </c>
      <c r="B58" s="5" t="s">
        <v>11</v>
      </c>
      <c r="C58" s="14">
        <v>0.62663019258957009</v>
      </c>
      <c r="D58" s="14">
        <v>0.80096019586465439</v>
      </c>
      <c r="E58" s="14">
        <v>0.6561922365988907</v>
      </c>
      <c r="G58" s="1" t="s">
        <v>346</v>
      </c>
      <c r="H58" s="54">
        <v>0.34556959999999998</v>
      </c>
      <c r="I58" s="54">
        <v>1.7119</v>
      </c>
      <c r="L58" s="1" t="s">
        <v>346</v>
      </c>
      <c r="M58" s="54">
        <v>1.42319</v>
      </c>
      <c r="N58" s="54">
        <v>1.0122100000000001</v>
      </c>
    </row>
    <row r="60" spans="1:15">
      <c r="B60" s="6" t="s">
        <v>185</v>
      </c>
      <c r="C60" s="3">
        <f>SUM(C39:C58)</f>
        <v>0</v>
      </c>
      <c r="D60" s="3">
        <f>SUM(D39:D58)</f>
        <v>-1.9984014443252818E-15</v>
      </c>
      <c r="E60" s="3">
        <f>SUM(E39:E58)</f>
        <v>-2.1094237467877974E-15</v>
      </c>
    </row>
    <row r="61" spans="1:15" ht="13.5" thickBot="1">
      <c r="B61" t="s">
        <v>178</v>
      </c>
      <c r="C61" s="3">
        <f>AVERAGE(C39:C58)</f>
        <v>0</v>
      </c>
      <c r="D61" s="3">
        <f>AVERAGE(D39:D58)</f>
        <v>-9.9920072216264091E-17</v>
      </c>
      <c r="E61" s="3">
        <f>AVERAGE(E39:E58)</f>
        <v>-1.0547118733938987E-16</v>
      </c>
      <c r="G61" s="24" t="s">
        <v>153</v>
      </c>
      <c r="H61" s="24"/>
      <c r="I61" s="24"/>
      <c r="J61" s="7"/>
      <c r="L61" s="24" t="s">
        <v>152</v>
      </c>
      <c r="M61" s="24"/>
      <c r="N61" s="24"/>
      <c r="O61" s="38"/>
    </row>
    <row r="62" spans="1:15" ht="13.5" thickTop="1">
      <c r="B62" t="s">
        <v>330</v>
      </c>
      <c r="C62" s="14">
        <f>VAR(C39:C58)</f>
        <v>0.99999941568133932</v>
      </c>
      <c r="D62" s="14">
        <f>VAR(D39:D58)</f>
        <v>0.99999347696859542</v>
      </c>
      <c r="E62" s="14">
        <f>VAR(E39:E58)</f>
        <v>0.99999392611964832</v>
      </c>
      <c r="G62" s="30" t="s">
        <v>444</v>
      </c>
      <c r="H62" s="29" t="s">
        <v>394</v>
      </c>
      <c r="I62" s="29" t="s">
        <v>395</v>
      </c>
      <c r="J62" s="7"/>
      <c r="L62" s="30" t="s">
        <v>444</v>
      </c>
      <c r="M62" s="29" t="s">
        <v>394</v>
      </c>
      <c r="N62" s="29" t="s">
        <v>395</v>
      </c>
      <c r="O62" s="38"/>
    </row>
    <row r="63" spans="1:15">
      <c r="B63" s="31" t="s">
        <v>184</v>
      </c>
      <c r="C63" s="13">
        <f>STDEV(C39:C58)</f>
        <v>0.99999970784062697</v>
      </c>
      <c r="D63" s="13">
        <f>STDEV(D39:D58)</f>
        <v>0.99999673847897896</v>
      </c>
      <c r="E63" s="13">
        <f>STDEV(E39:E58)</f>
        <v>0.99999696305521268</v>
      </c>
      <c r="F63">
        <v>1</v>
      </c>
      <c r="G63" s="5" t="s">
        <v>413</v>
      </c>
      <c r="H63" s="18">
        <f t="array" ref="H63:I82">MMULT(C39:E58,H56:I58)</f>
        <v>-1.0556162462225895</v>
      </c>
      <c r="I63" s="18">
        <v>-0.99329231877825697</v>
      </c>
      <c r="J63" s="7"/>
      <c r="K63">
        <v>1</v>
      </c>
      <c r="L63" s="5" t="s">
        <v>413</v>
      </c>
      <c r="M63" s="18">
        <f t="array" ref="M63:N82">MMULT(C39:E58,M56:N58)</f>
        <v>-1.4494714472300543</v>
      </c>
      <c r="N63" s="18">
        <v>-2.3264170081518376E-3</v>
      </c>
      <c r="O63" s="38"/>
    </row>
    <row r="64" spans="1:15">
      <c r="F64">
        <v>2</v>
      </c>
      <c r="G64" s="5" t="s">
        <v>414</v>
      </c>
      <c r="H64" s="18">
        <v>-1.1618523869272077</v>
      </c>
      <c r="I64" s="18">
        <v>0.10970274536644697</v>
      </c>
      <c r="J64" s="7"/>
      <c r="K64">
        <v>2</v>
      </c>
      <c r="L64" s="5" t="s">
        <v>414</v>
      </c>
      <c r="M64" s="18">
        <v>-0.7723825577402974</v>
      </c>
      <c r="N64" s="18">
        <v>0.87484735776259526</v>
      </c>
      <c r="O64" s="38"/>
    </row>
    <row r="65" spans="6:15">
      <c r="F65">
        <v>3</v>
      </c>
      <c r="G65" s="5" t="s">
        <v>415</v>
      </c>
      <c r="H65" s="18">
        <v>0.52956718051245621</v>
      </c>
      <c r="I65" s="18">
        <v>-0.88886054416148186</v>
      </c>
      <c r="J65" s="7"/>
      <c r="K65">
        <v>3</v>
      </c>
      <c r="L65" s="5" t="s">
        <v>415</v>
      </c>
      <c r="M65" s="18">
        <v>-0.22182696621522946</v>
      </c>
      <c r="N65" s="18">
        <v>-1.0105937476174902</v>
      </c>
      <c r="O65" s="38"/>
    </row>
    <row r="66" spans="6:15">
      <c r="F66">
        <v>4</v>
      </c>
      <c r="G66" s="5" t="s">
        <v>416</v>
      </c>
      <c r="H66" s="18">
        <v>-0.9241851543814501</v>
      </c>
      <c r="I66" s="18">
        <v>-0.33309058734475827</v>
      </c>
      <c r="J66" s="7"/>
      <c r="K66">
        <v>4</v>
      </c>
      <c r="L66" s="5" t="s">
        <v>416</v>
      </c>
      <c r="M66" s="18">
        <v>-0.90195450595332627</v>
      </c>
      <c r="N66" s="18">
        <v>0.38929491375289715</v>
      </c>
      <c r="O66" s="38"/>
    </row>
    <row r="67" spans="6:15">
      <c r="F67">
        <v>5</v>
      </c>
      <c r="G67" s="5" t="s">
        <v>417</v>
      </c>
      <c r="H67" s="18">
        <v>0.16793245986396807</v>
      </c>
      <c r="I67" s="18">
        <v>1.7371847810032952</v>
      </c>
      <c r="J67" s="42"/>
      <c r="K67">
        <v>5</v>
      </c>
      <c r="L67" s="5" t="s">
        <v>417</v>
      </c>
      <c r="M67" s="18">
        <v>1.3109222097743707</v>
      </c>
      <c r="N67" s="18">
        <v>1.15217502841788</v>
      </c>
      <c r="O67" s="38"/>
    </row>
    <row r="68" spans="6:15">
      <c r="F68">
        <v>6</v>
      </c>
      <c r="G68" s="5" t="s">
        <v>179</v>
      </c>
      <c r="H68" s="18">
        <v>0.23428251704905761</v>
      </c>
      <c r="I68" s="18">
        <v>0.49482680660851142</v>
      </c>
      <c r="J68" s="7"/>
      <c r="K68">
        <v>6</v>
      </c>
      <c r="L68" s="5" t="s">
        <v>179</v>
      </c>
      <c r="M68" s="18">
        <v>0.50939909521713789</v>
      </c>
      <c r="N68" s="18">
        <v>0.2006394836553993</v>
      </c>
      <c r="O68" s="38"/>
    </row>
    <row r="69" spans="6:15">
      <c r="F69">
        <v>7</v>
      </c>
      <c r="G69" s="5" t="s">
        <v>400</v>
      </c>
      <c r="H69" s="18">
        <v>-0.57960902826052185</v>
      </c>
      <c r="I69" s="18">
        <v>0.16811775541002716</v>
      </c>
      <c r="J69" s="7"/>
      <c r="K69">
        <v>7</v>
      </c>
      <c r="L69" s="5" t="s">
        <v>400</v>
      </c>
      <c r="M69" s="18">
        <v>-0.30774308238659481</v>
      </c>
      <c r="N69" s="18">
        <v>0.51913628741398743</v>
      </c>
      <c r="O69" s="38"/>
    </row>
    <row r="70" spans="6:15">
      <c r="F70">
        <v>8</v>
      </c>
      <c r="G70" s="5" t="s">
        <v>14</v>
      </c>
      <c r="H70" s="18">
        <v>-0.35593746892007672</v>
      </c>
      <c r="I70" s="18">
        <v>-0.85434595433934968</v>
      </c>
      <c r="J70" s="7"/>
      <c r="K70">
        <v>8</v>
      </c>
      <c r="L70" s="5" t="s">
        <v>14</v>
      </c>
      <c r="M70" s="18">
        <v>-0.84408550297148</v>
      </c>
      <c r="N70" s="18">
        <v>-0.37963876877515768</v>
      </c>
      <c r="O70" s="38"/>
    </row>
    <row r="71" spans="6:15">
      <c r="F71">
        <v>9</v>
      </c>
      <c r="G71" s="5" t="s">
        <v>376</v>
      </c>
      <c r="H71" s="18">
        <v>-0.42740876672766231</v>
      </c>
      <c r="I71" s="18">
        <v>1.4365621732341662</v>
      </c>
      <c r="J71" s="7"/>
      <c r="K71">
        <v>9</v>
      </c>
      <c r="L71" s="5" t="s">
        <v>376</v>
      </c>
      <c r="M71" s="18">
        <v>0.67103138580815291</v>
      </c>
      <c r="N71" s="18">
        <v>1.3401863161093601</v>
      </c>
      <c r="O71" s="38"/>
    </row>
    <row r="72" spans="6:15">
      <c r="F72">
        <v>10</v>
      </c>
      <c r="G72" s="5" t="s">
        <v>16</v>
      </c>
      <c r="H72" s="18">
        <v>-1.0779523472140977</v>
      </c>
      <c r="I72" s="18">
        <v>0.31943292951390845</v>
      </c>
      <c r="J72" s="7"/>
      <c r="K72">
        <v>10</v>
      </c>
      <c r="L72" s="5" t="s">
        <v>16</v>
      </c>
      <c r="M72" s="18">
        <v>-0.56770831648967846</v>
      </c>
      <c r="N72" s="18">
        <v>0.97042247126885983</v>
      </c>
      <c r="O72" s="38"/>
    </row>
    <row r="73" spans="6:15">
      <c r="F73">
        <v>11</v>
      </c>
      <c r="G73" s="5" t="s">
        <v>377</v>
      </c>
      <c r="H73" s="18">
        <v>-0.60655417982017457</v>
      </c>
      <c r="I73" s="18">
        <v>0.59443270043938967</v>
      </c>
      <c r="J73" s="7"/>
      <c r="K73">
        <v>11</v>
      </c>
      <c r="L73" s="5" t="s">
        <v>377</v>
      </c>
      <c r="M73" s="18">
        <v>-3.5748173978391695E-2</v>
      </c>
      <c r="N73" s="18">
        <v>0.84851299059889584</v>
      </c>
      <c r="O73" s="38"/>
    </row>
    <row r="74" spans="6:15">
      <c r="F74">
        <v>12</v>
      </c>
      <c r="G74" s="5" t="s">
        <v>272</v>
      </c>
      <c r="H74" s="18">
        <v>-0.50211190632547797</v>
      </c>
      <c r="I74" s="18">
        <v>0.4332905138183793</v>
      </c>
      <c r="J74" s="7"/>
      <c r="K74">
        <v>12</v>
      </c>
      <c r="L74" s="5" t="s">
        <v>272</v>
      </c>
      <c r="M74" s="18">
        <v>-6.9808463159650114E-2</v>
      </c>
      <c r="N74" s="18">
        <v>0.65953040336677771</v>
      </c>
      <c r="O74" s="38"/>
    </row>
    <row r="75" spans="6:15">
      <c r="F75">
        <v>13</v>
      </c>
      <c r="G75" s="5" t="s">
        <v>221</v>
      </c>
      <c r="H75" s="18">
        <v>1.6014141787081333E-2</v>
      </c>
      <c r="I75" s="18">
        <v>-0.31350901153053601</v>
      </c>
      <c r="J75" s="7"/>
      <c r="K75">
        <v>13</v>
      </c>
      <c r="L75" s="5" t="s">
        <v>221</v>
      </c>
      <c r="M75" s="18">
        <v>-0.20279595633726871</v>
      </c>
      <c r="N75" s="18">
        <v>-0.23962099469602383</v>
      </c>
      <c r="O75" s="38"/>
    </row>
    <row r="76" spans="6:15">
      <c r="F76">
        <v>14</v>
      </c>
      <c r="G76" s="5" t="s">
        <v>181</v>
      </c>
      <c r="H76" s="18">
        <v>0.77118717858466601</v>
      </c>
      <c r="I76" s="18">
        <v>1.4905697218434109</v>
      </c>
      <c r="J76" s="7"/>
      <c r="K76">
        <v>14</v>
      </c>
      <c r="L76" s="5" t="s">
        <v>181</v>
      </c>
      <c r="M76" s="18">
        <v>1.5822090582292865</v>
      </c>
      <c r="N76" s="18">
        <v>0.5596082130036083</v>
      </c>
    </row>
    <row r="77" spans="6:15">
      <c r="F77">
        <v>15</v>
      </c>
      <c r="G77" s="5" t="s">
        <v>182</v>
      </c>
      <c r="H77" s="18">
        <v>0.65021810545999803</v>
      </c>
      <c r="I77" s="18">
        <v>-2.7530577109518428</v>
      </c>
      <c r="J77" s="7"/>
      <c r="K77">
        <v>15</v>
      </c>
      <c r="L77" s="5" t="s">
        <v>182</v>
      </c>
      <c r="M77" s="18">
        <v>-1.4091533386434099</v>
      </c>
      <c r="N77" s="18">
        <v>-2.4528307181444107</v>
      </c>
    </row>
    <row r="78" spans="6:15">
      <c r="F78">
        <v>16</v>
      </c>
      <c r="G78" s="5" t="s">
        <v>156</v>
      </c>
      <c r="H78" s="18">
        <v>1.3423052478712267</v>
      </c>
      <c r="I78" s="18">
        <v>4.816342344027591E-2</v>
      </c>
      <c r="J78" s="7"/>
      <c r="K78">
        <v>16</v>
      </c>
      <c r="L78" s="5" t="s">
        <v>156</v>
      </c>
      <c r="M78" s="18">
        <v>1.0119977096105033</v>
      </c>
      <c r="N78" s="18">
        <v>-0.88315352078058507</v>
      </c>
    </row>
    <row r="79" spans="6:15">
      <c r="F79">
        <v>17</v>
      </c>
      <c r="G79" s="5" t="s">
        <v>157</v>
      </c>
      <c r="H79" s="18">
        <v>-0.96259542015419153</v>
      </c>
      <c r="I79" s="18">
        <v>-0.66059105134946661</v>
      </c>
      <c r="J79" s="7"/>
      <c r="K79">
        <v>17</v>
      </c>
      <c r="L79" s="5" t="s">
        <v>157</v>
      </c>
      <c r="M79" s="18">
        <v>-1.1540177514330934</v>
      </c>
      <c r="N79" s="18">
        <v>0.17670121279655837</v>
      </c>
    </row>
    <row r="80" spans="6:15">
      <c r="F80">
        <v>18</v>
      </c>
      <c r="G80" s="5" t="s">
        <v>10</v>
      </c>
      <c r="H80" s="18">
        <v>0.29850327987610009</v>
      </c>
      <c r="I80" s="18">
        <v>-0.15770922361156592</v>
      </c>
      <c r="J80" s="7"/>
      <c r="K80">
        <v>18</v>
      </c>
      <c r="L80" s="5" t="s">
        <v>10</v>
      </c>
      <c r="M80" s="18">
        <v>0.10983273651779635</v>
      </c>
      <c r="N80" s="18">
        <v>-0.31923737288190401</v>
      </c>
    </row>
    <row r="81" spans="6:14">
      <c r="F81">
        <v>19</v>
      </c>
      <c r="G81" s="5" t="s">
        <v>158</v>
      </c>
      <c r="H81" s="18">
        <v>2.9211757864008003</v>
      </c>
      <c r="I81" s="18">
        <v>3.0721210797172382E-2</v>
      </c>
      <c r="J81" s="7"/>
      <c r="K81">
        <v>19</v>
      </c>
      <c r="L81" s="5" t="s">
        <v>158</v>
      </c>
      <c r="M81" s="18">
        <v>2.1516639411768672</v>
      </c>
      <c r="N81" s="18">
        <v>-1.9759935328229159</v>
      </c>
    </row>
    <row r="82" spans="6:14">
      <c r="F82">
        <v>20</v>
      </c>
      <c r="G82" s="5" t="s">
        <v>11</v>
      </c>
      <c r="H82" s="18">
        <v>0.72263700754809479</v>
      </c>
      <c r="I82" s="18">
        <v>9.1451640592268957E-2</v>
      </c>
      <c r="J82" s="7"/>
      <c r="K82">
        <v>20</v>
      </c>
      <c r="L82" s="5" t="s">
        <v>11</v>
      </c>
      <c r="M82" s="18">
        <v>0.58963992620435624</v>
      </c>
      <c r="N82" s="18">
        <v>-0.42765960542018222</v>
      </c>
    </row>
  </sheetData>
  <phoneticPr fontId="7"/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E166"/>
  <sheetViews>
    <sheetView topLeftCell="A2" workbookViewId="0">
      <selection activeCell="A4" sqref="A4:E31"/>
    </sheetView>
  </sheetViews>
  <sheetFormatPr defaultRowHeight="12.75"/>
  <cols>
    <col min="1" max="1" width="11" customWidth="1"/>
    <col min="2" max="2" width="17" customWidth="1"/>
    <col min="3" max="11" width="11.875" customWidth="1"/>
    <col min="12" max="12" width="13.625" customWidth="1"/>
    <col min="13" max="13" width="11" customWidth="1"/>
    <col min="14" max="15" width="12.25" style="1" customWidth="1"/>
    <col min="16" max="256" width="11" customWidth="1"/>
  </cols>
  <sheetData>
    <row r="1" spans="1:31" ht="15">
      <c r="A1" s="57" t="s">
        <v>461</v>
      </c>
    </row>
    <row r="2" spans="1:31">
      <c r="L2" t="s">
        <v>375</v>
      </c>
    </row>
    <row r="3" spans="1:31">
      <c r="Y3" s="14"/>
      <c r="Z3" s="14"/>
      <c r="AA3" s="14"/>
    </row>
    <row r="4" spans="1:31" ht="13.5" thickBot="1">
      <c r="B4" s="24" t="s">
        <v>322</v>
      </c>
      <c r="C4" s="10"/>
      <c r="D4" s="11"/>
      <c r="E4" s="10"/>
      <c r="F4" s="20"/>
      <c r="G4" s="10" t="s">
        <v>378</v>
      </c>
      <c r="H4" s="10"/>
      <c r="I4" s="10"/>
      <c r="L4" s="51" t="s">
        <v>321</v>
      </c>
      <c r="M4" s="8"/>
      <c r="N4" s="9"/>
      <c r="O4" s="9"/>
      <c r="Y4" s="14"/>
      <c r="Z4" s="14"/>
      <c r="AA4" s="14"/>
    </row>
    <row r="5" spans="1:31" ht="13.5" thickTop="1">
      <c r="C5" s="1" t="s">
        <v>20</v>
      </c>
      <c r="D5" s="1" t="s">
        <v>12</v>
      </c>
      <c r="E5" s="1" t="s">
        <v>12</v>
      </c>
      <c r="F5" s="1"/>
      <c r="G5" s="1" t="s">
        <v>20</v>
      </c>
      <c r="H5" s="1" t="s">
        <v>12</v>
      </c>
      <c r="I5" s="1" t="s">
        <v>12</v>
      </c>
      <c r="N5"/>
      <c r="O5"/>
      <c r="Y5" s="14"/>
      <c r="Z5" s="14"/>
      <c r="AA5" s="14"/>
      <c r="AC5" s="38"/>
      <c r="AD5" s="38"/>
      <c r="AE5" s="38"/>
    </row>
    <row r="6" spans="1:31">
      <c r="B6" s="30" t="s">
        <v>444</v>
      </c>
      <c r="C6" s="29" t="s">
        <v>173</v>
      </c>
      <c r="D6" s="29" t="s">
        <v>173</v>
      </c>
      <c r="E6" s="29" t="s">
        <v>174</v>
      </c>
      <c r="F6" s="29"/>
      <c r="G6" s="29" t="s">
        <v>173</v>
      </c>
      <c r="H6" s="29" t="s">
        <v>173</v>
      </c>
      <c r="I6" s="29" t="s">
        <v>174</v>
      </c>
      <c r="M6" s="1" t="s">
        <v>448</v>
      </c>
      <c r="N6" s="1" t="s">
        <v>449</v>
      </c>
      <c r="O6" s="1" t="s">
        <v>31</v>
      </c>
      <c r="Y6" s="14"/>
      <c r="Z6" s="14"/>
      <c r="AA6" s="14"/>
      <c r="AC6" s="38"/>
      <c r="AD6" s="38"/>
      <c r="AE6" s="38"/>
    </row>
    <row r="7" spans="1:31">
      <c r="A7">
        <v>1</v>
      </c>
      <c r="B7" s="5" t="s">
        <v>413</v>
      </c>
      <c r="C7" s="14">
        <v>23.14</v>
      </c>
      <c r="D7" s="14">
        <v>3.5</v>
      </c>
      <c r="E7" s="14">
        <v>3.77</v>
      </c>
      <c r="F7" s="14"/>
      <c r="G7" s="14">
        <f>(C7-36.21895)/18.6251</f>
        <v>-0.70222173303767488</v>
      </c>
      <c r="H7" s="14">
        <f>(D7-9.3725)/5.2281</f>
        <v>-1.1232570149767602</v>
      </c>
      <c r="I7" s="14">
        <f>(E7-8.9755)/4.2739</f>
        <v>-1.2179742155876367</v>
      </c>
      <c r="K7" s="19"/>
      <c r="L7" s="1" t="s">
        <v>448</v>
      </c>
      <c r="M7" s="38">
        <v>346.892</v>
      </c>
      <c r="N7" s="38">
        <f>M8</f>
        <v>87.191400000000002</v>
      </c>
      <c r="O7" s="38">
        <f>M9</f>
        <v>64.415599999999998</v>
      </c>
      <c r="Y7" s="14"/>
      <c r="Z7" s="14"/>
      <c r="AA7" s="14"/>
      <c r="AC7" s="38"/>
      <c r="AD7" s="38"/>
      <c r="AE7" s="38"/>
    </row>
    <row r="8" spans="1:31">
      <c r="A8">
        <v>2</v>
      </c>
      <c r="B8" s="5" t="s">
        <v>414</v>
      </c>
      <c r="C8" s="14">
        <v>14.32</v>
      </c>
      <c r="D8" s="14">
        <v>3.97</v>
      </c>
      <c r="E8" s="14">
        <v>4.08</v>
      </c>
      <c r="F8" s="14"/>
      <c r="G8" s="14">
        <f t="shared" ref="G8:G26" si="0">(C8-36.21895)/18.6251</f>
        <v>-1.1757762374430205</v>
      </c>
      <c r="H8" s="14">
        <f t="shared" ref="H8:H26" si="1">(D8-9.3725)/5.2281</f>
        <v>-1.0333581989632945</v>
      </c>
      <c r="I8" s="14">
        <f t="shared" ref="I8:I26" si="2">(E8-8.9755)/4.2739</f>
        <v>-1.145440932169681</v>
      </c>
      <c r="K8" s="19"/>
      <c r="L8" s="1" t="s">
        <v>449</v>
      </c>
      <c r="M8" s="38">
        <v>87.191400000000002</v>
      </c>
      <c r="N8" s="38">
        <f>D30</f>
        <v>27.332851315789412</v>
      </c>
      <c r="O8" s="38">
        <v>20.315000000000001</v>
      </c>
      <c r="Y8" s="14"/>
      <c r="Z8" s="14"/>
      <c r="AA8" s="14"/>
    </row>
    <row r="9" spans="1:31">
      <c r="A9">
        <v>3</v>
      </c>
      <c r="B9" s="5" t="s">
        <v>415</v>
      </c>
      <c r="C9" s="14">
        <v>51.69</v>
      </c>
      <c r="D9" s="14">
        <v>10.91</v>
      </c>
      <c r="E9" s="14">
        <v>10.72</v>
      </c>
      <c r="F9" s="14"/>
      <c r="G9" s="14">
        <f t="shared" si="0"/>
        <v>0.83065594278688426</v>
      </c>
      <c r="H9" s="14">
        <f t="shared" si="1"/>
        <v>0.29408389281000735</v>
      </c>
      <c r="I9" s="14">
        <f t="shared" si="2"/>
        <v>0.40817520297620447</v>
      </c>
      <c r="K9" s="19"/>
      <c r="L9" s="1" t="s">
        <v>31</v>
      </c>
      <c r="M9" s="38">
        <v>64.415599999999998</v>
      </c>
      <c r="N9" s="38">
        <v>20.315000000000001</v>
      </c>
      <c r="O9" s="38">
        <f>E30</f>
        <v>18.266110263157913</v>
      </c>
      <c r="Y9" s="14"/>
      <c r="Z9" s="14"/>
      <c r="AA9" s="14"/>
    </row>
    <row r="10" spans="1:31">
      <c r="A10">
        <v>4</v>
      </c>
      <c r="B10" s="5" t="s">
        <v>416</v>
      </c>
      <c r="C10" s="14">
        <v>21.15</v>
      </c>
      <c r="D10" s="14">
        <v>4.9000000000000004</v>
      </c>
      <c r="E10" s="14">
        <v>4.6900000000000004</v>
      </c>
      <c r="F10" s="14"/>
      <c r="G10" s="14">
        <f t="shared" si="0"/>
        <v>-0.80906679695679495</v>
      </c>
      <c r="H10" s="14">
        <f t="shared" si="1"/>
        <v>-0.85547330770260699</v>
      </c>
      <c r="I10" s="14">
        <f t="shared" si="2"/>
        <v>-1.002714148669833</v>
      </c>
      <c r="M10" s="14"/>
      <c r="N10" s="14"/>
      <c r="O10" s="14"/>
      <c r="Y10" s="14"/>
      <c r="Z10" s="14"/>
      <c r="AA10" s="14"/>
    </row>
    <row r="11" spans="1:31">
      <c r="A11">
        <v>5</v>
      </c>
      <c r="B11" s="5" t="s">
        <v>417</v>
      </c>
      <c r="C11" s="14">
        <f>21.16+(21.16/2)</f>
        <v>31.740000000000002</v>
      </c>
      <c r="D11" s="14">
        <v>9.33</v>
      </c>
      <c r="E11" s="14">
        <v>12.11</v>
      </c>
      <c r="F11" s="14"/>
      <c r="G11" s="14">
        <f t="shared" si="0"/>
        <v>-0.240479245749016</v>
      </c>
      <c r="H11" s="14">
        <f t="shared" si="1"/>
        <v>-8.1291482565368726E-3</v>
      </c>
      <c r="I11" s="14">
        <f t="shared" si="2"/>
        <v>0.73340508668897242</v>
      </c>
      <c r="O11" s="38"/>
      <c r="Y11" s="14"/>
      <c r="Z11" s="14"/>
      <c r="AA11" s="14"/>
    </row>
    <row r="12" spans="1:31">
      <c r="A12">
        <v>6</v>
      </c>
      <c r="B12" s="5" t="s">
        <v>179</v>
      </c>
      <c r="C12" s="14">
        <v>36.81</v>
      </c>
      <c r="D12" s="14">
        <v>11.35</v>
      </c>
      <c r="E12" s="14">
        <v>10.1</v>
      </c>
      <c r="F12" s="14"/>
      <c r="G12" s="14">
        <f t="shared" si="0"/>
        <v>3.1734057803716638E-2</v>
      </c>
      <c r="H12" s="14">
        <f t="shared" si="1"/>
        <v>0.37824448652474113</v>
      </c>
      <c r="I12" s="14">
        <f t="shared" si="2"/>
        <v>0.26310863614029323</v>
      </c>
      <c r="L12" s="1" t="s">
        <v>323</v>
      </c>
      <c r="M12" s="1" t="s">
        <v>325</v>
      </c>
      <c r="N12" s="38" t="s">
        <v>326</v>
      </c>
      <c r="O12" s="1" t="s">
        <v>327</v>
      </c>
      <c r="Y12" s="14"/>
      <c r="Z12" s="14"/>
      <c r="AA12" s="14"/>
    </row>
    <row r="13" spans="1:31">
      <c r="A13">
        <v>7</v>
      </c>
      <c r="B13" s="5" t="s">
        <v>400</v>
      </c>
      <c r="C13" s="14">
        <f>16.75+(16.75/2)</f>
        <v>25.125</v>
      </c>
      <c r="D13" s="14">
        <v>6.39</v>
      </c>
      <c r="E13" s="14">
        <v>6.81</v>
      </c>
      <c r="F13" s="14"/>
      <c r="G13" s="14">
        <f t="shared" si="0"/>
        <v>-0.59564512405302517</v>
      </c>
      <c r="H13" s="14">
        <f t="shared" si="1"/>
        <v>-0.57047493353225853</v>
      </c>
      <c r="I13" s="14">
        <f t="shared" si="2"/>
        <v>-0.50668008142446019</v>
      </c>
      <c r="L13" s="1">
        <v>1</v>
      </c>
      <c r="M13" s="38">
        <v>383.07600000000002</v>
      </c>
      <c r="N13" s="38">
        <f>(M13/M17)*100</f>
        <v>97.601094545996531</v>
      </c>
      <c r="O13" s="38">
        <f>N13</f>
        <v>97.601094545996531</v>
      </c>
      <c r="Y13" s="14"/>
      <c r="Z13" s="14"/>
      <c r="AA13" s="14"/>
    </row>
    <row r="14" spans="1:31">
      <c r="A14">
        <v>8</v>
      </c>
      <c r="B14" s="5" t="s">
        <v>14</v>
      </c>
      <c r="C14" s="14">
        <v>32.93</v>
      </c>
      <c r="D14" s="14">
        <v>8.4600000000000009</v>
      </c>
      <c r="E14" s="14">
        <v>6.08</v>
      </c>
      <c r="F14" s="14"/>
      <c r="G14" s="14">
        <f t="shared" si="0"/>
        <v>-0.17658697134512027</v>
      </c>
      <c r="H14" s="14">
        <f t="shared" si="1"/>
        <v>-0.17453759491976045</v>
      </c>
      <c r="I14" s="14">
        <f t="shared" si="2"/>
        <v>-0.67748426495706493</v>
      </c>
      <c r="L14" s="1">
        <v>2</v>
      </c>
      <c r="M14" s="38">
        <v>7.4566999999999997</v>
      </c>
      <c r="N14" s="38">
        <f>(M14/M17)*100</f>
        <v>1.8998373213177864</v>
      </c>
      <c r="O14" s="38">
        <f>O13+N14</f>
        <v>99.500931867314321</v>
      </c>
      <c r="Y14" s="14"/>
      <c r="Z14" s="14"/>
      <c r="AA14" s="14"/>
    </row>
    <row r="15" spans="1:31">
      <c r="A15">
        <v>9</v>
      </c>
      <c r="B15" s="5" t="s">
        <v>376</v>
      </c>
      <c r="C15" s="14">
        <v>21.81</v>
      </c>
      <c r="D15" s="14">
        <v>6.92</v>
      </c>
      <c r="E15" s="14">
        <v>9.01</v>
      </c>
      <c r="F15" s="14"/>
      <c r="G15" s="14">
        <f t="shared" si="0"/>
        <v>-0.77363074560673506</v>
      </c>
      <c r="H15" s="14">
        <f t="shared" si="1"/>
        <v>-0.46909967292132904</v>
      </c>
      <c r="I15" s="14">
        <f t="shared" si="2"/>
        <v>8.0722525094175171E-3</v>
      </c>
      <c r="L15" s="47">
        <v>3</v>
      </c>
      <c r="M15" s="38">
        <v>1.9588000000000001</v>
      </c>
      <c r="N15" s="38">
        <f>(M15/M17)*100</f>
        <v>0.49906813268567596</v>
      </c>
      <c r="O15" s="38">
        <f>O14+N15</f>
        <v>100</v>
      </c>
      <c r="Y15" s="14"/>
      <c r="Z15" s="14"/>
      <c r="AA15" s="14"/>
    </row>
    <row r="16" spans="1:31">
      <c r="A16">
        <v>10</v>
      </c>
      <c r="B16" s="5" t="s">
        <v>16</v>
      </c>
      <c r="C16" s="14">
        <v>13.88</v>
      </c>
      <c r="D16" s="14">
        <v>5.03</v>
      </c>
      <c r="E16" s="14">
        <v>4.34</v>
      </c>
      <c r="F16" s="14"/>
      <c r="G16" s="14">
        <f t="shared" si="0"/>
        <v>-1.1994002716763936</v>
      </c>
      <c r="H16" s="14">
        <f t="shared" si="1"/>
        <v>-0.83060767774143573</v>
      </c>
      <c r="I16" s="14">
        <f t="shared" si="2"/>
        <v>-1.0846065654320409</v>
      </c>
      <c r="L16" s="1"/>
      <c r="O16" s="38"/>
      <c r="Y16" s="14"/>
      <c r="Z16" s="14"/>
      <c r="AA16" s="14"/>
    </row>
    <row r="17" spans="1:31">
      <c r="A17">
        <v>11</v>
      </c>
      <c r="B17" s="5" t="s">
        <v>377</v>
      </c>
      <c r="C17" s="14">
        <v>21.43</v>
      </c>
      <c r="D17" s="14">
        <v>7.03</v>
      </c>
      <c r="E17" s="14">
        <v>6.79</v>
      </c>
      <c r="F17" s="14"/>
      <c r="G17" s="14">
        <f t="shared" si="0"/>
        <v>-0.79403332062646648</v>
      </c>
      <c r="H17" s="14">
        <f t="shared" si="1"/>
        <v>-0.44805952449264552</v>
      </c>
      <c r="I17" s="14">
        <f t="shared" si="2"/>
        <v>-0.51135964809658629</v>
      </c>
      <c r="L17" s="1" t="s">
        <v>324</v>
      </c>
      <c r="M17" s="38">
        <f>SUM(M13:M15)</f>
        <v>392.49150000000003</v>
      </c>
      <c r="N17" s="38"/>
      <c r="O17" s="14"/>
      <c r="Y17" s="14"/>
      <c r="Z17" s="14"/>
      <c r="AA17" s="14"/>
      <c r="AC17" s="38"/>
      <c r="AD17" s="38"/>
      <c r="AE17" s="38"/>
    </row>
    <row r="18" spans="1:31">
      <c r="A18">
        <v>12</v>
      </c>
      <c r="B18" s="5" t="s">
        <v>272</v>
      </c>
      <c r="C18" s="14">
        <f>15.13+(15.13*0.8)</f>
        <v>27.234000000000002</v>
      </c>
      <c r="D18" s="14">
        <v>5.3</v>
      </c>
      <c r="E18" s="14">
        <v>8.19</v>
      </c>
      <c r="F18" s="14"/>
      <c r="G18" s="14">
        <f t="shared" si="0"/>
        <v>-0.48241083269351565</v>
      </c>
      <c r="H18" s="14">
        <f t="shared" si="1"/>
        <v>-0.77896367705284908</v>
      </c>
      <c r="I18" s="14">
        <f t="shared" si="2"/>
        <v>-0.18378998104775515</v>
      </c>
      <c r="L18" s="1"/>
      <c r="M18" s="7"/>
      <c r="N18"/>
      <c r="O18" s="14"/>
      <c r="Y18" s="14"/>
      <c r="Z18" s="14"/>
      <c r="AA18" s="14"/>
      <c r="AC18" s="38"/>
      <c r="AD18" s="38"/>
      <c r="AE18" s="38"/>
    </row>
    <row r="19" spans="1:31">
      <c r="A19">
        <v>13</v>
      </c>
      <c r="B19" s="5" t="s">
        <v>221</v>
      </c>
      <c r="C19" s="14">
        <v>38.15</v>
      </c>
      <c r="D19" s="14">
        <v>9.4</v>
      </c>
      <c r="E19" s="14">
        <v>8.7100000000000009</v>
      </c>
      <c r="F19" s="14"/>
      <c r="G19" s="14">
        <f t="shared" si="0"/>
        <v>0.10367998024171678</v>
      </c>
      <c r="H19" s="14">
        <f t="shared" si="1"/>
        <v>5.2600371071708377E-3</v>
      </c>
      <c r="I19" s="14">
        <f t="shared" si="2"/>
        <v>-6.2121247572474649E-2</v>
      </c>
      <c r="L19" s="1"/>
      <c r="M19" s="190" t="s">
        <v>328</v>
      </c>
      <c r="N19" s="190"/>
      <c r="O19" s="190"/>
      <c r="Y19" s="14"/>
      <c r="Z19" s="14"/>
      <c r="AA19" s="14"/>
      <c r="AC19" s="38"/>
      <c r="AD19" s="38"/>
      <c r="AE19" s="38"/>
    </row>
    <row r="20" spans="1:31">
      <c r="A20">
        <v>14</v>
      </c>
      <c r="B20" s="5" t="s">
        <v>181</v>
      </c>
      <c r="C20" s="14">
        <v>40.11</v>
      </c>
      <c r="D20" s="14">
        <v>14.98</v>
      </c>
      <c r="E20" s="14">
        <v>12.98</v>
      </c>
      <c r="F20" s="14"/>
      <c r="G20" s="14">
        <f t="shared" si="0"/>
        <v>0.20891431455401582</v>
      </c>
      <c r="H20" s="14">
        <f t="shared" si="1"/>
        <v>1.0725693846712954</v>
      </c>
      <c r="I20" s="14">
        <f t="shared" si="2"/>
        <v>0.93696623692646064</v>
      </c>
      <c r="L20" s="1" t="s">
        <v>367</v>
      </c>
      <c r="M20" s="1">
        <v>1</v>
      </c>
      <c r="N20" s="49">
        <v>2</v>
      </c>
      <c r="O20" s="47">
        <v>3</v>
      </c>
      <c r="Y20" s="14"/>
      <c r="Z20" s="14"/>
      <c r="AA20" s="14"/>
    </row>
    <row r="21" spans="1:31">
      <c r="A21">
        <v>15</v>
      </c>
      <c r="B21" s="5" t="s">
        <v>182</v>
      </c>
      <c r="C21" s="14">
        <v>62.17</v>
      </c>
      <c r="D21" s="14">
        <v>12.25</v>
      </c>
      <c r="E21" s="14">
        <v>8.7100000000000009</v>
      </c>
      <c r="F21" s="14"/>
      <c r="G21" s="14">
        <f t="shared" si="0"/>
        <v>1.3933374854363199</v>
      </c>
      <c r="H21" s="14">
        <f t="shared" si="1"/>
        <v>0.5503911554866967</v>
      </c>
      <c r="I21" s="14">
        <f t="shared" si="2"/>
        <v>-6.2121247572474649E-2</v>
      </c>
      <c r="L21" s="1">
        <v>1</v>
      </c>
      <c r="M21" s="38">
        <v>0.95069999999999999</v>
      </c>
      <c r="N21" s="38">
        <v>0.3095</v>
      </c>
      <c r="O21" s="38">
        <v>-2.2700000000000001E-2</v>
      </c>
      <c r="Y21" s="14"/>
      <c r="Z21" s="14"/>
      <c r="AA21" s="14"/>
    </row>
    <row r="22" spans="1:31">
      <c r="A22">
        <v>16</v>
      </c>
      <c r="B22" s="5" t="s">
        <v>156</v>
      </c>
      <c r="C22" s="14">
        <v>55.94</v>
      </c>
      <c r="D22" s="14">
        <v>19</v>
      </c>
      <c r="E22" s="14">
        <v>13.1</v>
      </c>
      <c r="F22" s="14"/>
      <c r="G22" s="14">
        <f t="shared" si="0"/>
        <v>1.0588426370865123</v>
      </c>
      <c r="H22" s="14">
        <f t="shared" si="1"/>
        <v>1.8414911727013636</v>
      </c>
      <c r="I22" s="14">
        <f t="shared" si="2"/>
        <v>0.96504363695921735</v>
      </c>
      <c r="L22" s="1">
        <v>2</v>
      </c>
      <c r="M22" s="38">
        <v>0.24399999999999999</v>
      </c>
      <c r="N22" s="38">
        <v>-0.69989999999999997</v>
      </c>
      <c r="O22" s="38">
        <v>0.67130000000000001</v>
      </c>
      <c r="Y22" s="14"/>
      <c r="Z22" s="14"/>
      <c r="AA22" s="14"/>
    </row>
    <row r="23" spans="1:31">
      <c r="A23">
        <v>17</v>
      </c>
      <c r="B23" s="5" t="s">
        <v>157</v>
      </c>
      <c r="C23" s="14">
        <v>23.31</v>
      </c>
      <c r="D23" s="14">
        <v>3.84</v>
      </c>
      <c r="E23" s="14">
        <v>4.5999999999999996</v>
      </c>
      <c r="F23" s="14"/>
      <c r="G23" s="14">
        <f t="shared" si="0"/>
        <v>-0.69309426526568985</v>
      </c>
      <c r="H23" s="14">
        <f t="shared" si="1"/>
        <v>-1.0582238289244659</v>
      </c>
      <c r="I23" s="14">
        <f t="shared" si="2"/>
        <v>-1.0237721986944011</v>
      </c>
      <c r="L23" s="47">
        <v>3</v>
      </c>
      <c r="M23" s="38">
        <v>0.19189999999999999</v>
      </c>
      <c r="N23" s="38">
        <v>-0.64370000000000005</v>
      </c>
      <c r="O23" s="38">
        <v>-0.74080000000000001</v>
      </c>
    </row>
    <row r="24" spans="1:31">
      <c r="A24">
        <v>18</v>
      </c>
      <c r="B24" s="5" t="s">
        <v>10</v>
      </c>
      <c r="C24" s="14">
        <v>46.12</v>
      </c>
      <c r="D24" s="14">
        <v>8.15</v>
      </c>
      <c r="E24" s="14">
        <v>11.42</v>
      </c>
      <c r="F24" s="14"/>
      <c r="G24" s="14">
        <f t="shared" si="0"/>
        <v>0.53159714578713657</v>
      </c>
      <c r="H24" s="14">
        <f t="shared" si="1"/>
        <v>-0.233832558673323</v>
      </c>
      <c r="I24" s="14">
        <f t="shared" si="2"/>
        <v>0.57196003650061988</v>
      </c>
      <c r="M24" s="47"/>
      <c r="N24" s="47"/>
    </row>
    <row r="25" spans="1:31">
      <c r="A25">
        <v>19</v>
      </c>
      <c r="B25" s="5" t="s">
        <v>158</v>
      </c>
      <c r="C25" s="14">
        <v>89.43</v>
      </c>
      <c r="D25" s="14">
        <v>23.18</v>
      </c>
      <c r="E25" s="14">
        <v>21.52</v>
      </c>
      <c r="F25" s="14"/>
      <c r="G25" s="14">
        <f t="shared" si="0"/>
        <v>2.8569537881675808</v>
      </c>
      <c r="H25" s="14">
        <f t="shared" si="1"/>
        <v>2.6410168129913347</v>
      </c>
      <c r="I25" s="14">
        <f t="shared" si="2"/>
        <v>2.9351412059243311</v>
      </c>
      <c r="J25" s="14"/>
      <c r="Y25" s="18"/>
      <c r="Z25" s="18"/>
      <c r="AA25" s="18"/>
    </row>
    <row r="26" spans="1:31">
      <c r="A26">
        <v>20</v>
      </c>
      <c r="B26" s="5" t="s">
        <v>11</v>
      </c>
      <c r="C26" s="14">
        <v>47.89</v>
      </c>
      <c r="D26" s="14">
        <v>13.56</v>
      </c>
      <c r="E26" s="14">
        <v>11.78</v>
      </c>
      <c r="F26" s="14"/>
      <c r="G26" s="14">
        <f t="shared" si="0"/>
        <v>0.62663019258957009</v>
      </c>
      <c r="H26" s="14">
        <f t="shared" si="1"/>
        <v>0.80096019586465439</v>
      </c>
      <c r="I26" s="14">
        <f t="shared" si="2"/>
        <v>0.6561922365988907</v>
      </c>
      <c r="J26" s="14"/>
      <c r="L26" s="50"/>
      <c r="M26" s="189" t="s">
        <v>329</v>
      </c>
      <c r="N26" s="189"/>
      <c r="O26" s="189"/>
      <c r="Y26" s="18"/>
      <c r="Z26" s="18"/>
      <c r="AA26" s="18"/>
    </row>
    <row r="27" spans="1:31">
      <c r="H27" s="30"/>
      <c r="I27" s="30"/>
      <c r="L27" s="1" t="s">
        <v>366</v>
      </c>
      <c r="M27" s="47">
        <v>1</v>
      </c>
      <c r="N27" s="47">
        <v>2</v>
      </c>
      <c r="O27" s="1">
        <v>3</v>
      </c>
      <c r="Y27" s="18"/>
      <c r="Z27" s="18"/>
      <c r="AA27" s="18"/>
    </row>
    <row r="28" spans="1:31">
      <c r="B28" s="6" t="s">
        <v>185</v>
      </c>
      <c r="C28" s="3">
        <f>SUM(C7:C26)</f>
        <v>724.37900000000002</v>
      </c>
      <c r="D28" s="3">
        <f>SUM(D7:D26)</f>
        <v>187.45000000000005</v>
      </c>
      <c r="E28" s="3">
        <f>SUM(E7:E26)</f>
        <v>179.51</v>
      </c>
      <c r="F28" s="3"/>
      <c r="G28" s="3">
        <f>SUM(G7:G26)</f>
        <v>0</v>
      </c>
      <c r="H28" s="3">
        <f>SUM(H7:H26)</f>
        <v>-1.9984014443252818E-15</v>
      </c>
      <c r="I28" s="3">
        <f>SUM(I7:I26)</f>
        <v>-2.1094237467877974E-15</v>
      </c>
      <c r="J28" s="3"/>
      <c r="L28" s="53" t="s">
        <v>413</v>
      </c>
      <c r="M28" s="38">
        <v>23.574478872844999</v>
      </c>
      <c r="N28" s="38">
        <v>2.2860346694037901</v>
      </c>
      <c r="O28" s="38">
        <v>-0.96978934004589801</v>
      </c>
      <c r="Y28" s="18"/>
      <c r="Z28" s="18"/>
      <c r="AA28" s="18"/>
    </row>
    <row r="29" spans="1:31">
      <c r="B29" t="s">
        <v>178</v>
      </c>
      <c r="C29" s="3">
        <f>AVERAGE(C7:C26)</f>
        <v>36.21895</v>
      </c>
      <c r="D29" s="3">
        <f>AVERAGE(D7:D26)</f>
        <v>9.3725000000000023</v>
      </c>
      <c r="E29" s="3">
        <f>AVERAGE(E7:E26)</f>
        <v>8.9755000000000003</v>
      </c>
      <c r="F29" s="3"/>
      <c r="G29" s="3">
        <f>AVERAGE(G7:G26)</f>
        <v>0</v>
      </c>
      <c r="H29" s="3">
        <f>AVERAGE(H7:H26)</f>
        <v>-9.9920072216264091E-17</v>
      </c>
      <c r="I29" s="3">
        <f>AVERAGE(I7:I26)</f>
        <v>-1.0547118733938987E-16</v>
      </c>
      <c r="J29" s="3"/>
      <c r="L29" s="53" t="s">
        <v>414</v>
      </c>
      <c r="M29" s="38">
        <v>15.364149269027701</v>
      </c>
      <c r="N29" s="38">
        <v>-0.97246557405366296</v>
      </c>
      <c r="O29" s="38">
        <v>-0.683321261423952</v>
      </c>
      <c r="Y29" s="18"/>
      <c r="Z29" s="18"/>
      <c r="AA29" s="18"/>
    </row>
    <row r="30" spans="1:31">
      <c r="B30" t="s">
        <v>330</v>
      </c>
      <c r="C30" s="14">
        <f>VAR(C7:C26)</f>
        <v>346.89414731315782</v>
      </c>
      <c r="D30" s="14">
        <f>VAR(D7:D26)</f>
        <v>27.332851315789412</v>
      </c>
      <c r="E30" s="14">
        <f>VAR(E7:E26)</f>
        <v>18.266110263157913</v>
      </c>
      <c r="F30" s="14"/>
      <c r="G30" s="14">
        <f>VAR(G7:G26)</f>
        <v>0.99999941568133932</v>
      </c>
      <c r="H30" s="14">
        <f>VAR(H7:H26)</f>
        <v>0.99999347696859542</v>
      </c>
      <c r="I30" s="14">
        <f>VAR(I7:I26)</f>
        <v>0.99999392611964832</v>
      </c>
      <c r="J30" s="18"/>
      <c r="L30" s="53" t="s">
        <v>415</v>
      </c>
      <c r="M30" s="38">
        <v>53.855775065024702</v>
      </c>
      <c r="N30" s="38">
        <v>1.46306049080107</v>
      </c>
      <c r="O30" s="38">
        <v>-1.79375197441295</v>
      </c>
      <c r="Y30" s="18"/>
      <c r="Z30" s="18"/>
      <c r="AA30" s="18"/>
    </row>
    <row r="31" spans="1:31">
      <c r="B31" s="31" t="s">
        <v>184</v>
      </c>
      <c r="C31" s="13">
        <f>STDEV(C7:C26)</f>
        <v>18.625094558502457</v>
      </c>
      <c r="D31" s="13">
        <f>STDEV(D7:D26)</f>
        <v>5.2280829484419442</v>
      </c>
      <c r="E31" s="13">
        <f>STDEV(E7:E26)</f>
        <v>4.2738870204016752</v>
      </c>
      <c r="F31" s="16"/>
      <c r="G31" s="13">
        <f>STDEV(G7:G26)</f>
        <v>0.99999970784062697</v>
      </c>
      <c r="H31" s="13">
        <f>STDEV(H7:H26)</f>
        <v>0.99999673847897896</v>
      </c>
      <c r="I31" s="13">
        <f>STDEV(I7:I26)</f>
        <v>0.99999696305521268</v>
      </c>
      <c r="J31" s="16"/>
      <c r="L31" s="53" t="s">
        <v>416</v>
      </c>
      <c r="M31" s="38">
        <v>22.200789433614698</v>
      </c>
      <c r="N31" s="38">
        <v>9.8030152333392295E-2</v>
      </c>
      <c r="O31" s="38">
        <v>-0.66628718547916599</v>
      </c>
      <c r="Y31" s="18"/>
      <c r="Z31" s="18"/>
      <c r="AA31" s="18"/>
    </row>
    <row r="32" spans="1:31">
      <c r="H32" s="30"/>
      <c r="I32" s="30"/>
      <c r="L32" s="53" t="s">
        <v>417</v>
      </c>
      <c r="M32" s="38">
        <v>34.7721643829613</v>
      </c>
      <c r="N32" s="38">
        <v>-4.5008514510725099</v>
      </c>
      <c r="O32" s="38">
        <v>-3.43038195245011</v>
      </c>
      <c r="Y32" s="18"/>
      <c r="Z32" s="18"/>
      <c r="AA32" s="18"/>
    </row>
    <row r="33" spans="2:27">
      <c r="H33" s="30"/>
      <c r="I33" s="30"/>
      <c r="L33" s="53" t="s">
        <v>179</v>
      </c>
      <c r="M33" s="38">
        <v>39.698941535618403</v>
      </c>
      <c r="N33" s="38">
        <v>-3.05152469928999</v>
      </c>
      <c r="O33" s="38">
        <v>-0.70059828801391499</v>
      </c>
      <c r="Y33" s="18"/>
      <c r="Z33" s="18"/>
      <c r="AA33" s="18"/>
    </row>
    <row r="34" spans="2:27">
      <c r="G34" t="s">
        <v>379</v>
      </c>
      <c r="L34" s="53" t="s">
        <v>400</v>
      </c>
      <c r="M34" s="38">
        <v>26.754487920635899</v>
      </c>
      <c r="N34" s="38">
        <v>-1.07753772822366</v>
      </c>
      <c r="O34" s="38">
        <v>-1.3271731419824899</v>
      </c>
      <c r="Y34" s="18"/>
      <c r="Z34" s="18"/>
      <c r="AA34" s="18"/>
    </row>
    <row r="35" spans="2:27">
      <c r="C35" s="1"/>
      <c r="D35" s="1"/>
      <c r="K35" s="1"/>
      <c r="L35" s="53" t="s">
        <v>14</v>
      </c>
      <c r="M35" s="38">
        <v>34.534236996061502</v>
      </c>
      <c r="N35" s="38">
        <v>0.35786707792550299</v>
      </c>
      <c r="O35" s="38">
        <v>0.425800721456085</v>
      </c>
      <c r="Y35" s="18"/>
      <c r="Z35" s="18"/>
      <c r="AA35" s="18"/>
    </row>
    <row r="36" spans="2:27" ht="13.5" thickBot="1">
      <c r="B36" s="30"/>
      <c r="C36" s="29"/>
      <c r="D36" s="29"/>
      <c r="E36" s="29"/>
      <c r="F36" s="29"/>
      <c r="G36" s="51" t="s">
        <v>445</v>
      </c>
      <c r="H36" s="8"/>
      <c r="I36" s="9"/>
      <c r="J36" s="8"/>
      <c r="K36" s="38"/>
      <c r="L36" s="53" t="s">
        <v>376</v>
      </c>
      <c r="M36" s="38">
        <v>24.149821390349398</v>
      </c>
      <c r="N36" s="38">
        <v>-3.892229962289</v>
      </c>
      <c r="O36" s="38">
        <v>-2.5257222204509402</v>
      </c>
      <c r="Y36" s="18"/>
      <c r="Z36" s="18"/>
      <c r="AA36" s="18"/>
    </row>
    <row r="37" spans="2:27">
      <c r="B37" s="5"/>
      <c r="C37" s="14"/>
      <c r="D37" s="14"/>
      <c r="E37" s="14"/>
      <c r="F37" s="14"/>
      <c r="J37" s="1"/>
      <c r="K37" s="38"/>
      <c r="L37" s="53" t="s">
        <v>16</v>
      </c>
      <c r="M37" s="38">
        <v>15.254347980209999</v>
      </c>
      <c r="N37" s="38">
        <v>-2.0179050257754798</v>
      </c>
      <c r="O37" s="38">
        <v>-0.15435998707812801</v>
      </c>
      <c r="Y37" s="18"/>
      <c r="Z37" s="18"/>
      <c r="AA37" s="18"/>
    </row>
    <row r="38" spans="2:27">
      <c r="B38" s="5"/>
      <c r="C38" s="14"/>
      <c r="D38" s="14"/>
      <c r="E38" s="14"/>
      <c r="F38" s="14"/>
      <c r="H38" s="1" t="s">
        <v>380</v>
      </c>
      <c r="I38" s="1" t="s">
        <v>365</v>
      </c>
      <c r="J38" s="29"/>
      <c r="K38" s="38"/>
      <c r="L38" s="53" t="s">
        <v>377</v>
      </c>
      <c r="M38" s="38">
        <v>23.389486867512399</v>
      </c>
      <c r="N38" s="38">
        <v>-2.6578363839305101</v>
      </c>
      <c r="O38" s="38">
        <v>-0.79856736141555595</v>
      </c>
      <c r="Y38" s="18"/>
      <c r="Z38" s="18"/>
      <c r="AA38" s="18"/>
    </row>
    <row r="39" spans="2:27">
      <c r="B39" s="5"/>
      <c r="C39" s="14"/>
      <c r="D39" s="14"/>
      <c r="E39" s="14"/>
      <c r="F39" s="14"/>
      <c r="G39" s="1" t="s">
        <v>380</v>
      </c>
      <c r="H39" s="38">
        <v>1</v>
      </c>
      <c r="I39" s="38">
        <f>H40</f>
        <v>0.89543107849602166</v>
      </c>
      <c r="J39" s="14"/>
      <c r="K39" s="38"/>
      <c r="L39" s="53" t="s">
        <v>272</v>
      </c>
      <c r="M39" s="38">
        <v>28.7496526519265</v>
      </c>
      <c r="N39" s="38">
        <v>-0.55294961692804601</v>
      </c>
      <c r="O39" s="38">
        <v>-3.12901248235148</v>
      </c>
      <c r="Y39" s="18"/>
      <c r="Z39" s="18"/>
      <c r="AA39" s="18"/>
    </row>
    <row r="40" spans="2:27">
      <c r="B40" s="5"/>
      <c r="C40" s="14"/>
      <c r="D40" s="14"/>
      <c r="E40" s="14"/>
      <c r="F40" s="14"/>
      <c r="G40" s="1" t="s">
        <v>365</v>
      </c>
      <c r="H40" s="38">
        <f>CORREL(G7:G26,H7:H26)</f>
        <v>0.89543107849602166</v>
      </c>
      <c r="I40" s="38">
        <v>1</v>
      </c>
      <c r="J40" s="14"/>
      <c r="K40" s="2"/>
      <c r="L40" s="53" t="s">
        <v>221</v>
      </c>
      <c r="M40" s="38">
        <v>40.2303806290154</v>
      </c>
      <c r="N40" s="38">
        <v>-0.377232687410606</v>
      </c>
      <c r="O40" s="38">
        <v>-1.0103316010552199</v>
      </c>
      <c r="Y40" s="18"/>
      <c r="Z40" s="18"/>
      <c r="AA40" s="18"/>
    </row>
    <row r="41" spans="2:27">
      <c r="B41" s="5"/>
      <c r="C41" s="14"/>
      <c r="D41" s="14"/>
      <c r="E41" s="14"/>
      <c r="F41" s="14"/>
      <c r="G41" s="14"/>
      <c r="H41" s="14"/>
      <c r="I41" s="14"/>
      <c r="J41" s="14"/>
      <c r="L41" s="53" t="s">
        <v>181</v>
      </c>
      <c r="M41" s="38">
        <v>44.274087215412202</v>
      </c>
      <c r="N41" s="38">
        <v>-6.4245511279295098</v>
      </c>
      <c r="O41" s="38">
        <v>-0.47248708626449398</v>
      </c>
      <c r="Y41" s="18"/>
      <c r="Z41" s="18"/>
      <c r="AA41" s="18"/>
    </row>
    <row r="42" spans="2:27">
      <c r="B42" s="5"/>
      <c r="C42" s="14"/>
      <c r="D42" s="14"/>
      <c r="E42" s="14"/>
      <c r="F42" s="14"/>
      <c r="G42" s="14"/>
      <c r="H42" s="14"/>
      <c r="I42" s="14"/>
      <c r="J42" s="14"/>
      <c r="L42" s="53" t="s">
        <v>182</v>
      </c>
      <c r="M42" s="38">
        <v>63.759517253618803</v>
      </c>
      <c r="N42" s="38">
        <v>5.0628421681751297</v>
      </c>
      <c r="O42" s="38">
        <v>0.35649511304079201</v>
      </c>
      <c r="Y42" s="18"/>
      <c r="Z42" s="18"/>
      <c r="AA42" s="18"/>
    </row>
    <row r="43" spans="2:27">
      <c r="B43" s="5"/>
      <c r="C43" s="14"/>
      <c r="D43" s="14"/>
      <c r="E43" s="14"/>
      <c r="F43" s="14"/>
      <c r="G43" t="s">
        <v>323</v>
      </c>
      <c r="H43" s="1" t="s">
        <v>325</v>
      </c>
      <c r="I43" s="38" t="s">
        <v>326</v>
      </c>
      <c r="J43" s="1" t="s">
        <v>327</v>
      </c>
      <c r="K43" s="18"/>
      <c r="L43" s="53" t="s">
        <v>156</v>
      </c>
      <c r="M43" s="38">
        <v>60.326095789201801</v>
      </c>
      <c r="N43" s="38">
        <v>-4.4156004802447599</v>
      </c>
      <c r="O43" s="38">
        <v>1.7771435594535101</v>
      </c>
      <c r="Y43" s="18"/>
      <c r="Z43" s="18"/>
      <c r="AA43" s="18"/>
    </row>
    <row r="44" spans="2:27">
      <c r="B44" s="5"/>
      <c r="C44" s="14"/>
      <c r="D44" s="14"/>
      <c r="E44" s="14"/>
      <c r="F44" s="14"/>
      <c r="G44">
        <v>1</v>
      </c>
      <c r="H44" s="38">
        <v>1.895</v>
      </c>
      <c r="I44" s="38">
        <f>(H44/H47)*100</f>
        <v>94.75</v>
      </c>
      <c r="J44" s="38">
        <f>I44</f>
        <v>94.75</v>
      </c>
      <c r="K44" s="18"/>
      <c r="L44" s="53" t="s">
        <v>157</v>
      </c>
      <c r="M44" s="38">
        <v>23.978272685966001</v>
      </c>
      <c r="N44" s="38">
        <v>1.5664234277484499</v>
      </c>
      <c r="O44" s="38">
        <v>-1.3603149056219299</v>
      </c>
      <c r="Y44" s="18"/>
      <c r="Z44" s="18"/>
      <c r="AA44" s="18"/>
    </row>
    <row r="45" spans="2:27">
      <c r="B45" s="5"/>
      <c r="C45" s="14"/>
      <c r="D45" s="14"/>
      <c r="E45" s="14"/>
      <c r="F45" s="14"/>
      <c r="G45">
        <v>2</v>
      </c>
      <c r="H45" s="38">
        <v>0.105</v>
      </c>
      <c r="I45" s="38">
        <f>(H45/H47)*100</f>
        <v>5.25</v>
      </c>
      <c r="J45" s="38">
        <f>J44+I45</f>
        <v>100</v>
      </c>
      <c r="K45" s="18"/>
      <c r="L45" s="53" t="s">
        <v>10</v>
      </c>
      <c r="M45" s="38">
        <v>48.021825871247103</v>
      </c>
      <c r="N45" s="38">
        <v>1.2201330178018599</v>
      </c>
      <c r="O45" s="38">
        <v>-4.0384174388603604</v>
      </c>
    </row>
    <row r="46" spans="2:27">
      <c r="B46" s="5"/>
      <c r="C46" s="14"/>
      <c r="D46" s="14"/>
      <c r="E46" s="14"/>
      <c r="F46" s="14"/>
      <c r="G46" s="50"/>
      <c r="H46" s="38"/>
      <c r="I46" s="38"/>
      <c r="J46" s="38"/>
      <c r="L46" s="53" t="s">
        <v>158</v>
      </c>
      <c r="M46" s="38">
        <v>94.797530197446093</v>
      </c>
      <c r="N46" s="38">
        <v>-2.3950955583217999</v>
      </c>
      <c r="O46" s="38">
        <v>-2.4165027893219602</v>
      </c>
    </row>
    <row r="47" spans="2:27">
      <c r="B47" s="5"/>
      <c r="C47" s="14"/>
      <c r="D47" s="14"/>
      <c r="E47" s="14"/>
      <c r="F47" s="14"/>
      <c r="G47" s="2" t="s">
        <v>324</v>
      </c>
      <c r="H47" s="38">
        <f>SUM(H44:H46)</f>
        <v>2</v>
      </c>
      <c r="I47" s="1"/>
      <c r="J47" s="38"/>
      <c r="L47" s="53" t="s">
        <v>11</v>
      </c>
      <c r="M47" s="38">
        <v>51.093262799853697</v>
      </c>
      <c r="N47" s="38">
        <v>-2.2501684670152402</v>
      </c>
      <c r="O47" s="38">
        <v>-0.71367943443537596</v>
      </c>
    </row>
    <row r="48" spans="2:27">
      <c r="B48" s="5"/>
      <c r="C48" s="14"/>
      <c r="D48" s="14"/>
      <c r="E48" s="14"/>
      <c r="F48" s="14"/>
      <c r="I48" s="38"/>
      <c r="J48" s="14"/>
      <c r="L48" s="1"/>
    </row>
    <row r="49" spans="2:15">
      <c r="B49" s="5"/>
      <c r="C49" s="14"/>
      <c r="D49" s="14"/>
      <c r="E49" s="14"/>
      <c r="F49" s="14"/>
      <c r="G49" s="14"/>
      <c r="H49" s="14"/>
      <c r="I49" s="14"/>
      <c r="J49" s="14"/>
      <c r="L49" s="1" t="s">
        <v>330</v>
      </c>
      <c r="M49" s="38">
        <f>VAR(M28:M47)</f>
        <v>383.07555936393192</v>
      </c>
      <c r="N49" s="38">
        <f>VAR(N28:N47)</f>
        <v>7.4567009657774053</v>
      </c>
      <c r="O49" s="38">
        <f>VAR(O28:O47)</f>
        <v>1.9587949334482728</v>
      </c>
    </row>
    <row r="50" spans="2:15">
      <c r="B50" s="5"/>
      <c r="C50" s="14"/>
      <c r="D50" s="14"/>
      <c r="E50" s="14"/>
      <c r="F50" s="14"/>
      <c r="G50" t="s">
        <v>328</v>
      </c>
      <c r="H50" s="1">
        <v>1</v>
      </c>
      <c r="I50" s="49">
        <v>2</v>
      </c>
      <c r="J50" s="14"/>
    </row>
    <row r="51" spans="2:15">
      <c r="B51" s="5"/>
      <c r="C51" s="14"/>
      <c r="D51" s="14"/>
      <c r="E51" s="14"/>
      <c r="F51" s="14"/>
      <c r="G51">
        <v>1</v>
      </c>
      <c r="H51" s="38">
        <v>0.70699999999999996</v>
      </c>
      <c r="I51" s="38">
        <v>0.70699999999999996</v>
      </c>
      <c r="J51" s="14"/>
    </row>
    <row r="52" spans="2:15">
      <c r="B52" s="5"/>
      <c r="C52" s="14"/>
      <c r="D52" s="14"/>
      <c r="E52" s="14"/>
      <c r="F52" s="14"/>
      <c r="G52">
        <v>2</v>
      </c>
      <c r="H52" s="38">
        <v>0.70699999999999996</v>
      </c>
      <c r="I52" s="38">
        <v>-0.69989999999999997</v>
      </c>
      <c r="J52" s="14"/>
    </row>
    <row r="53" spans="2:15" ht="13.5" thickBot="1">
      <c r="B53" s="5"/>
      <c r="C53" s="14"/>
      <c r="D53" s="14"/>
      <c r="E53" s="14"/>
      <c r="F53" s="14"/>
      <c r="G53" s="14"/>
      <c r="H53" s="14"/>
      <c r="I53" s="14"/>
      <c r="J53" s="14"/>
      <c r="L53" s="51" t="s">
        <v>445</v>
      </c>
      <c r="M53" s="8"/>
      <c r="N53" s="9"/>
      <c r="O53" s="9"/>
    </row>
    <row r="54" spans="2:15">
      <c r="B54" s="5"/>
      <c r="C54" s="14"/>
      <c r="D54" s="14"/>
      <c r="E54" s="14"/>
      <c r="F54" s="14"/>
      <c r="G54" s="14"/>
      <c r="H54" s="14"/>
      <c r="I54" s="14"/>
      <c r="J54" s="14"/>
      <c r="N54"/>
      <c r="O54"/>
    </row>
    <row r="55" spans="2:15">
      <c r="B55" s="5"/>
      <c r="C55" s="14"/>
      <c r="D55" s="14"/>
      <c r="E55" s="14"/>
      <c r="F55" s="14"/>
      <c r="G55" s="14" t="s">
        <v>329</v>
      </c>
      <c r="I55" s="14"/>
      <c r="J55" s="14"/>
      <c r="M55" s="1" t="s">
        <v>448</v>
      </c>
      <c r="N55" s="1" t="s">
        <v>449</v>
      </c>
      <c r="O55" s="1" t="s">
        <v>31</v>
      </c>
    </row>
    <row r="56" spans="2:15">
      <c r="G56">
        <v>1</v>
      </c>
      <c r="H56" s="14">
        <f t="array" ref="H56:I75">MMULT(G7:H26,H51:I52)</f>
        <v>-1.2906134748462055</v>
      </c>
      <c r="I56" s="14">
        <v>0.28969681952459836</v>
      </c>
      <c r="L56" s="1" t="s">
        <v>448</v>
      </c>
      <c r="M56" s="38">
        <f>CORREL(C7:C26,C7:C26)</f>
        <v>1</v>
      </c>
      <c r="N56" s="38">
        <f>M57</f>
        <v>0.89543107849602177</v>
      </c>
      <c r="O56" s="38">
        <f>M58</f>
        <v>0.85948121238963882</v>
      </c>
    </row>
    <row r="57" spans="2:15">
      <c r="B57" s="17"/>
      <c r="C57" s="14"/>
      <c r="D57" s="14"/>
      <c r="E57" s="14"/>
      <c r="F57" s="14"/>
      <c r="G57">
        <v>2</v>
      </c>
      <c r="H57" s="14">
        <v>-1.5618580465392646</v>
      </c>
      <c r="I57" s="14">
        <v>-0.10802639641780576</v>
      </c>
      <c r="L57" s="1" t="s">
        <v>449</v>
      </c>
      <c r="M57" s="38">
        <f>CORREL(C7:C26,D7:D26)</f>
        <v>0.89543107849602177</v>
      </c>
      <c r="N57" s="38">
        <f>CORREL(D7:D26,D7:D26)</f>
        <v>1</v>
      </c>
      <c r="O57" s="38">
        <f>N58</f>
        <v>0.90918237966209525</v>
      </c>
    </row>
    <row r="58" spans="2:15">
      <c r="E58" s="32"/>
      <c r="F58" s="32"/>
      <c r="G58">
        <v>3</v>
      </c>
      <c r="H58" s="14">
        <v>0.79519106376700233</v>
      </c>
      <c r="I58" s="14">
        <v>0.381444434972603</v>
      </c>
      <c r="L58" s="1" t="s">
        <v>31</v>
      </c>
      <c r="M58" s="38">
        <f>CORREL(C7:C26,E7:E26)</f>
        <v>0.85948121238963882</v>
      </c>
      <c r="N58" s="38">
        <f>CORREL(D7:D26,E7:E26)</f>
        <v>0.90918237966209525</v>
      </c>
      <c r="O58" s="38">
        <f>CORREL(E7:E26,E7:E26)</f>
        <v>1</v>
      </c>
    </row>
    <row r="59" spans="2:15">
      <c r="G59">
        <v>4</v>
      </c>
      <c r="H59" s="14">
        <v>-1.1768298539941973</v>
      </c>
      <c r="I59" s="14">
        <v>2.6735542612600582E-2</v>
      </c>
      <c r="L59" s="7"/>
      <c r="O59" s="37"/>
    </row>
    <row r="60" spans="2:15">
      <c r="E60" s="38"/>
      <c r="F60" s="38"/>
      <c r="G60">
        <v>5</v>
      </c>
      <c r="H60" s="14">
        <v>-0.17576613456192586</v>
      </c>
      <c r="I60" s="14">
        <v>-0.16432923587980414</v>
      </c>
      <c r="N60"/>
      <c r="O60" s="37"/>
    </row>
    <row r="61" spans="2:15">
      <c r="G61">
        <v>6</v>
      </c>
      <c r="H61" s="14">
        <v>0.28985483084021962</v>
      </c>
      <c r="I61" s="14">
        <v>-0.24229733725143862</v>
      </c>
      <c r="L61" s="1" t="s">
        <v>323</v>
      </c>
      <c r="M61" s="1" t="s">
        <v>325</v>
      </c>
      <c r="N61" s="38" t="s">
        <v>326</v>
      </c>
      <c r="O61" s="1" t="s">
        <v>327</v>
      </c>
    </row>
    <row r="62" spans="2:15">
      <c r="G62">
        <v>7</v>
      </c>
      <c r="H62" s="14">
        <v>-0.82444688071279548</v>
      </c>
      <c r="I62" s="14">
        <v>-2.1845696726261021E-2</v>
      </c>
      <c r="L62" s="1">
        <v>1</v>
      </c>
      <c r="M62" s="38">
        <v>2.7761999999999998</v>
      </c>
      <c r="N62" s="38">
        <f>(M62/M66)*100</f>
        <v>92.54</v>
      </c>
      <c r="O62" s="38">
        <f>N62</f>
        <v>92.54</v>
      </c>
    </row>
    <row r="63" spans="2:15">
      <c r="G63">
        <v>8</v>
      </c>
      <c r="H63" s="14">
        <v>-0.24824506834927068</v>
      </c>
      <c r="I63" s="14">
        <v>-2.6881260566596898E-3</v>
      </c>
      <c r="L63" s="1">
        <v>2</v>
      </c>
      <c r="M63" s="38">
        <v>0.1416</v>
      </c>
      <c r="N63" s="38">
        <f>(M63/M66)*100</f>
        <v>4.7200000000000006</v>
      </c>
      <c r="O63" s="38">
        <f>O62+N63</f>
        <v>97.26</v>
      </c>
    </row>
    <row r="64" spans="2:15">
      <c r="G64">
        <v>9</v>
      </c>
      <c r="H64" s="14">
        <v>-0.87861040589934125</v>
      </c>
      <c r="I64" s="14">
        <v>-0.21863407606632346</v>
      </c>
      <c r="L64" s="1">
        <v>3</v>
      </c>
      <c r="M64" s="38">
        <v>8.2199999999999995E-2</v>
      </c>
      <c r="N64" s="38">
        <f>(M64/M66)*100</f>
        <v>2.74</v>
      </c>
      <c r="O64" s="38">
        <f>O63+N64</f>
        <v>100</v>
      </c>
    </row>
    <row r="65" spans="7:15">
      <c r="G65">
        <v>10</v>
      </c>
      <c r="H65" s="14">
        <v>-1.4352156202384054</v>
      </c>
      <c r="I65" s="14">
        <v>-0.26663367842397945</v>
      </c>
      <c r="L65" s="1"/>
      <c r="N65" s="38"/>
      <c r="O65" s="38"/>
    </row>
    <row r="66" spans="7:15">
      <c r="G66">
        <v>11</v>
      </c>
      <c r="H66" s="14">
        <v>-0.87815964149921211</v>
      </c>
      <c r="I66" s="14">
        <v>-0.24778469649050916</v>
      </c>
      <c r="L66" s="1" t="s">
        <v>324</v>
      </c>
      <c r="M66" s="38">
        <f>SUM(M62:M64)</f>
        <v>2.9999999999999996</v>
      </c>
      <c r="N66" s="43"/>
      <c r="O66" s="38"/>
    </row>
    <row r="67" spans="7:15">
      <c r="G67">
        <v>12</v>
      </c>
      <c r="H67" s="14">
        <v>-0.8917917783906798</v>
      </c>
      <c r="I67" s="14">
        <v>0.20413221885497346</v>
      </c>
      <c r="L67" s="1"/>
      <c r="N67" s="43"/>
      <c r="O67" s="38"/>
    </row>
    <row r="68" spans="7:15">
      <c r="G68">
        <v>13</v>
      </c>
      <c r="H68" s="14">
        <v>7.7020592265663546E-2</v>
      </c>
      <c r="I68" s="14">
        <v>6.9620246059584889E-2</v>
      </c>
      <c r="L68" s="1"/>
      <c r="M68" s="190" t="s">
        <v>328</v>
      </c>
      <c r="N68" s="190"/>
      <c r="O68" s="190"/>
    </row>
    <row r="69" spans="7:15">
      <c r="G69">
        <v>14</v>
      </c>
      <c r="H69" s="14">
        <v>0.90600897535229497</v>
      </c>
      <c r="I69" s="14">
        <v>-0.60298889194175043</v>
      </c>
      <c r="L69" s="1" t="s">
        <v>367</v>
      </c>
      <c r="M69" s="1">
        <v>1</v>
      </c>
      <c r="N69" s="49">
        <v>2</v>
      </c>
      <c r="O69" s="1">
        <v>3</v>
      </c>
    </row>
    <row r="70" spans="7:15">
      <c r="G70">
        <v>15</v>
      </c>
      <c r="H70" s="14">
        <v>1.3742161491325726</v>
      </c>
      <c r="I70" s="14">
        <v>0.59987083247833906</v>
      </c>
      <c r="L70" s="1">
        <v>1</v>
      </c>
      <c r="M70" s="38">
        <v>0.57269999999999999</v>
      </c>
      <c r="N70" s="38">
        <v>-0.75729999999999997</v>
      </c>
      <c r="O70" s="38">
        <v>-0.31380000000000002</v>
      </c>
    </row>
    <row r="71" spans="7:15">
      <c r="G71">
        <v>16</v>
      </c>
      <c r="H71" s="14">
        <v>2.050536003520028</v>
      </c>
      <c r="I71" s="14">
        <v>-0.5402579273535203</v>
      </c>
      <c r="L71" s="1">
        <v>2</v>
      </c>
      <c r="M71" s="38">
        <v>0.58350000000000002</v>
      </c>
      <c r="N71" s="38">
        <v>0.1077</v>
      </c>
      <c r="O71" s="38">
        <v>0.80500000000000005</v>
      </c>
    </row>
    <row r="72" spans="7:15">
      <c r="G72">
        <v>17</v>
      </c>
      <c r="H72" s="14">
        <v>-1.2381818925924399</v>
      </c>
      <c r="I72" s="14">
        <v>0.25063321232139096</v>
      </c>
      <c r="L72" s="1">
        <v>3</v>
      </c>
      <c r="M72" s="38">
        <v>0.57579999999999998</v>
      </c>
      <c r="N72" s="38">
        <v>0.64410000000000001</v>
      </c>
      <c r="O72" s="38">
        <v>-0.50349999999999995</v>
      </c>
    </row>
    <row r="73" spans="7:15">
      <c r="G73">
        <v>18</v>
      </c>
      <c r="H73" s="14">
        <v>0.21051956308946615</v>
      </c>
      <c r="I73" s="14">
        <v>0.53949858988696431</v>
      </c>
      <c r="L73" s="1"/>
    </row>
    <row r="74" spans="7:15">
      <c r="G74">
        <v>19</v>
      </c>
      <c r="H74" s="14">
        <v>3.8870652150193532</v>
      </c>
      <c r="I74" s="14">
        <v>0.17141866082184443</v>
      </c>
      <c r="L74" s="1"/>
      <c r="M74" s="190" t="s">
        <v>329</v>
      </c>
      <c r="N74" s="190"/>
      <c r="O74" s="190"/>
    </row>
    <row r="75" spans="7:15">
      <c r="G75">
        <v>20</v>
      </c>
      <c r="H75" s="14">
        <v>1.0093064046371367</v>
      </c>
      <c r="I75" s="14">
        <v>-0.11756449492484561</v>
      </c>
      <c r="L75" s="1" t="s">
        <v>366</v>
      </c>
      <c r="M75" s="1">
        <v>1</v>
      </c>
      <c r="N75" s="1">
        <v>2</v>
      </c>
      <c r="O75" s="1">
        <v>3</v>
      </c>
    </row>
    <row r="76" spans="7:15">
      <c r="L76" s="5" t="s">
        <v>413</v>
      </c>
      <c r="M76" s="38">
        <v>-1.7591753270719099</v>
      </c>
      <c r="N76" s="38">
        <v>-0.37508597835136498</v>
      </c>
      <c r="O76" s="38">
        <v>-6.8561486751703898E-2</v>
      </c>
    </row>
    <row r="77" spans="7:15">
      <c r="L77" s="5" t="s">
        <v>414</v>
      </c>
      <c r="M77" s="38">
        <v>-1.93727281897131</v>
      </c>
      <c r="N77" s="38">
        <v>3.9833325181734901E-2</v>
      </c>
      <c r="O77" s="38">
        <v>0.115569594097649</v>
      </c>
    </row>
    <row r="78" spans="7:15">
      <c r="L78" s="5" t="s">
        <v>415</v>
      </c>
      <c r="M78" s="38">
        <v>0.88126447963636301</v>
      </c>
      <c r="N78" s="38">
        <v>-0.33471791891405001</v>
      </c>
      <c r="O78" s="38">
        <v>-0.22873965919598799</v>
      </c>
    </row>
    <row r="79" spans="7:15">
      <c r="G79" s="14"/>
      <c r="H79" s="52"/>
      <c r="I79" s="52"/>
      <c r="J79" s="14"/>
      <c r="L79" s="5" t="s">
        <v>416</v>
      </c>
      <c r="M79" s="38">
        <v>-1.5408805632768099</v>
      </c>
      <c r="N79" s="38">
        <v>-0.126806830235282</v>
      </c>
      <c r="O79" s="38">
        <v>7.1680663511294804E-2</v>
      </c>
    </row>
    <row r="80" spans="7:15">
      <c r="L80" s="5" t="s">
        <v>417</v>
      </c>
      <c r="M80" s="38">
        <v>0.27992763398616999</v>
      </c>
      <c r="N80" s="38">
        <v>0.65303927779989401</v>
      </c>
      <c r="O80" s="38">
        <v>-0.30022195353021103</v>
      </c>
    </row>
    <row r="81" spans="12:15">
      <c r="L81" s="5" t="s">
        <v>179</v>
      </c>
      <c r="M81" s="38">
        <v>0.39031631931274802</v>
      </c>
      <c r="N81" s="38">
        <v>0.185354538231878</v>
      </c>
      <c r="O81" s="38">
        <v>0.163113046795758</v>
      </c>
    </row>
    <row r="82" spans="12:15">
      <c r="L82" s="5" t="s">
        <v>400</v>
      </c>
      <c r="M82" s="38">
        <v>-0.96643127910459103</v>
      </c>
      <c r="N82" s="38">
        <v>6.2725176986276901E-2</v>
      </c>
      <c r="O82" s="38">
        <v>-1.6004216328916899E-2</v>
      </c>
    </row>
    <row r="83" spans="12:15">
      <c r="L83" s="5" t="s">
        <v>14</v>
      </c>
      <c r="M83" s="38">
        <v>-0.59386030009490698</v>
      </c>
      <c r="N83" s="38">
        <v>-0.32207075009847103</v>
      </c>
      <c r="O83" s="38">
        <v>0.25738371335846799</v>
      </c>
    </row>
    <row r="84" spans="12:15">
      <c r="L84" s="5" t="s">
        <v>376</v>
      </c>
      <c r="M84" s="38">
        <v>-0.71176240881151298</v>
      </c>
      <c r="N84" s="38">
        <v>0.53948230455191304</v>
      </c>
      <c r="O84" s="38">
        <v>-0.13767758161076701</v>
      </c>
    </row>
    <row r="85" spans="12:15">
      <c r="L85" s="5" t="s">
        <v>16</v>
      </c>
      <c r="M85" s="38">
        <v>-1.7968804717455</v>
      </c>
      <c r="N85" s="38">
        <v>0.11840948837632299</v>
      </c>
      <c r="O85" s="38">
        <v>0.25547947730124498</v>
      </c>
    </row>
    <row r="86" spans="12:15">
      <c r="L86" s="5" t="s">
        <v>377</v>
      </c>
      <c r="M86" s="38">
        <v>-1.0109487193360001</v>
      </c>
      <c r="N86" s="38">
        <v>0.222696650785735</v>
      </c>
      <c r="O86" s="38">
        <v>0.147658012317986</v>
      </c>
    </row>
    <row r="87" spans="12:15">
      <c r="L87" s="5" t="s">
        <v>272</v>
      </c>
      <c r="M87" s="38">
        <v>-0.83651719494171295</v>
      </c>
      <c r="N87" s="38">
        <v>0.16204540450942101</v>
      </c>
      <c r="O87" s="38">
        <v>-0.38185503721206199</v>
      </c>
    </row>
    <row r="88" spans="12:15">
      <c r="L88" s="5" t="s">
        <v>221</v>
      </c>
      <c r="M88" s="38">
        <v>2.6791676771016501E-2</v>
      </c>
      <c r="N88" s="38">
        <v>-0.118692301687724</v>
      </c>
      <c r="O88" s="38">
        <v>3.9170876767874599E-3</v>
      </c>
    </row>
    <row r="89" spans="12:15">
      <c r="L89" s="5" t="s">
        <v>181</v>
      </c>
      <c r="M89" s="38">
        <v>1.28527244211459</v>
      </c>
      <c r="N89" s="38">
        <v>0.56086074923495399</v>
      </c>
      <c r="O89" s="38">
        <v>0.32632647687307897</v>
      </c>
    </row>
    <row r="90" spans="12:15">
      <c r="L90" s="5" t="s">
        <v>182</v>
      </c>
      <c r="M90" s="38">
        <v>1.0830487468084999</v>
      </c>
      <c r="N90" s="38">
        <v>-1.0361325322980901</v>
      </c>
      <c r="O90" s="38">
        <v>3.8128566063425198E-2</v>
      </c>
    </row>
    <row r="91" spans="12:15">
      <c r="L91" s="5" t="s">
        <v>156</v>
      </c>
      <c r="M91" s="38">
        <v>2.2363269702800599</v>
      </c>
      <c r="N91" s="38">
        <v>1.7926595220862599E-2</v>
      </c>
      <c r="O91" s="38">
        <v>0.66370725412773601</v>
      </c>
    </row>
    <row r="92" spans="12:15">
      <c r="L92" s="5" t="s">
        <v>157</v>
      </c>
      <c r="M92" s="38">
        <v>-1.6043922929735399</v>
      </c>
      <c r="N92" s="38">
        <v>-0.24993768463982399</v>
      </c>
      <c r="O92" s="38">
        <v>-0.116749835306005</v>
      </c>
    </row>
    <row r="93" spans="12:15">
      <c r="L93" s="5" t="s">
        <v>10</v>
      </c>
      <c r="M93" s="38">
        <v>0.49695946442789402</v>
      </c>
      <c r="N93" s="38">
        <v>-5.94163034676157E-2</v>
      </c>
      <c r="O93" s="38">
        <v>-0.64171020998405803</v>
      </c>
    </row>
    <row r="94" spans="12:15">
      <c r="L94" s="5" t="s">
        <v>158</v>
      </c>
      <c r="M94" s="38">
        <v>4.8677816287430096</v>
      </c>
      <c r="N94" s="38">
        <v>1.34874020319953E-2</v>
      </c>
      <c r="O94" s="38">
        <v>-0.24921096456299399</v>
      </c>
    </row>
    <row r="95" spans="12:15">
      <c r="L95" s="5" t="s">
        <v>11</v>
      </c>
      <c r="M95" s="38">
        <v>1.2036099225731001</v>
      </c>
      <c r="N95" s="38">
        <v>3.4770551982484202E-2</v>
      </c>
      <c r="O95" s="38">
        <v>0.118013401774581</v>
      </c>
    </row>
    <row r="96" spans="12:15">
      <c r="L96" s="1"/>
      <c r="N96"/>
      <c r="O96"/>
    </row>
    <row r="97" spans="12:15">
      <c r="L97" s="1" t="s">
        <v>330</v>
      </c>
      <c r="M97" s="38">
        <f>VAR(M76:M95)</f>
        <v>2.7771055190847203</v>
      </c>
      <c r="N97" s="38">
        <f>VAR(N76:N95)</f>
        <v>0.14156392283933586</v>
      </c>
      <c r="O97" s="38">
        <f>VAR(O76:O95)</f>
        <v>8.2131594918036177E-2</v>
      </c>
    </row>
    <row r="98" spans="12:15">
      <c r="N98"/>
      <c r="O98"/>
    </row>
    <row r="99" spans="12:15">
      <c r="N99"/>
      <c r="O99"/>
    </row>
    <row r="100" spans="12:15">
      <c r="N100"/>
      <c r="O100"/>
    </row>
    <row r="101" spans="12:15">
      <c r="N101"/>
      <c r="O101"/>
    </row>
    <row r="102" spans="12:15">
      <c r="N102"/>
      <c r="O102"/>
    </row>
    <row r="103" spans="12:15">
      <c r="N103"/>
      <c r="O103"/>
    </row>
    <row r="104" spans="12:15">
      <c r="N104"/>
      <c r="O104"/>
    </row>
    <row r="105" spans="12:15">
      <c r="N105"/>
      <c r="O105"/>
    </row>
    <row r="106" spans="12:15">
      <c r="N106"/>
      <c r="O106"/>
    </row>
    <row r="107" spans="12:15">
      <c r="N107"/>
      <c r="O107"/>
    </row>
    <row r="108" spans="12:15">
      <c r="N108"/>
      <c r="O108"/>
    </row>
    <row r="109" spans="12:15">
      <c r="N109"/>
      <c r="O109"/>
    </row>
    <row r="110" spans="12:15">
      <c r="N110"/>
      <c r="O110"/>
    </row>
    <row r="111" spans="12:15">
      <c r="N111"/>
      <c r="O111"/>
    </row>
    <row r="112" spans="12:15">
      <c r="N112"/>
      <c r="O112"/>
    </row>
    <row r="113" spans="14:15">
      <c r="N113"/>
      <c r="O113"/>
    </row>
    <row r="114" spans="14:15">
      <c r="N114"/>
      <c r="O114"/>
    </row>
    <row r="115" spans="14:15">
      <c r="N115"/>
      <c r="O115"/>
    </row>
    <row r="116" spans="14:15">
      <c r="N116"/>
      <c r="O116"/>
    </row>
    <row r="117" spans="14:15">
      <c r="N117"/>
      <c r="O117"/>
    </row>
    <row r="118" spans="14:15">
      <c r="N118"/>
      <c r="O118"/>
    </row>
    <row r="119" spans="14:15">
      <c r="N119"/>
      <c r="O119"/>
    </row>
    <row r="120" spans="14:15">
      <c r="N120"/>
      <c r="O120"/>
    </row>
    <row r="121" spans="14:15">
      <c r="N121"/>
      <c r="O121"/>
    </row>
    <row r="122" spans="14:15">
      <c r="N122"/>
      <c r="O122"/>
    </row>
    <row r="123" spans="14:15">
      <c r="N123"/>
      <c r="O123"/>
    </row>
    <row r="124" spans="14:15">
      <c r="N124"/>
      <c r="O124"/>
    </row>
    <row r="125" spans="14:15">
      <c r="N125"/>
      <c r="O125"/>
    </row>
    <row r="126" spans="14:15">
      <c r="N126"/>
      <c r="O126"/>
    </row>
    <row r="127" spans="14:15">
      <c r="N127"/>
      <c r="O127"/>
    </row>
    <row r="129" spans="4:10">
      <c r="D129" s="36"/>
      <c r="E129" s="18"/>
      <c r="F129" s="18"/>
      <c r="G129" s="18"/>
      <c r="H129" s="18"/>
      <c r="I129" s="18"/>
      <c r="J129" s="18"/>
    </row>
    <row r="130" spans="4:10">
      <c r="D130" s="36"/>
      <c r="E130" s="18"/>
      <c r="F130" s="18"/>
      <c r="G130" s="18"/>
      <c r="H130" s="18"/>
      <c r="I130" s="18"/>
      <c r="J130" s="18"/>
    </row>
    <row r="131" spans="4:10">
      <c r="D131" s="36"/>
      <c r="E131" s="18"/>
      <c r="F131" s="18"/>
      <c r="G131" s="18"/>
      <c r="H131" s="18"/>
      <c r="I131" s="18"/>
      <c r="J131" s="18"/>
    </row>
    <row r="132" spans="4:10">
      <c r="E132" s="18"/>
      <c r="F132" s="18"/>
      <c r="G132" s="18"/>
      <c r="H132" s="18"/>
      <c r="I132" s="18"/>
      <c r="J132" s="18"/>
    </row>
    <row r="135" spans="4:10">
      <c r="D135" s="36"/>
    </row>
    <row r="136" spans="4:10">
      <c r="D136" s="36"/>
    </row>
    <row r="137" spans="4:10">
      <c r="D137" s="36"/>
    </row>
    <row r="138" spans="4:10">
      <c r="D138" s="36"/>
    </row>
    <row r="139" spans="4:10">
      <c r="D139" s="36"/>
    </row>
    <row r="141" spans="4:10">
      <c r="D141" s="18"/>
    </row>
    <row r="143" spans="4:10">
      <c r="D143" s="18"/>
    </row>
    <row r="148" spans="3:4">
      <c r="C148" s="32"/>
      <c r="D148" s="41"/>
    </row>
    <row r="149" spans="3:4">
      <c r="C149" s="32"/>
      <c r="D149" s="41"/>
    </row>
    <row r="150" spans="3:4">
      <c r="C150" s="32"/>
      <c r="D150" s="41"/>
    </row>
    <row r="151" spans="3:4">
      <c r="C151" s="32"/>
      <c r="D151" s="41"/>
    </row>
    <row r="152" spans="3:4">
      <c r="C152" s="32"/>
      <c r="D152" s="41"/>
    </row>
    <row r="153" spans="3:4">
      <c r="C153" s="32"/>
      <c r="D153" s="41"/>
    </row>
    <row r="154" spans="3:4">
      <c r="C154" s="32"/>
      <c r="D154" s="41"/>
    </row>
    <row r="155" spans="3:4">
      <c r="C155" s="32"/>
      <c r="D155" s="41"/>
    </row>
    <row r="156" spans="3:4">
      <c r="C156" s="32"/>
      <c r="D156" s="41"/>
    </row>
    <row r="157" spans="3:4">
      <c r="C157" s="32"/>
      <c r="D157" s="41"/>
    </row>
    <row r="158" spans="3:4">
      <c r="C158" s="32"/>
      <c r="D158" s="41"/>
    </row>
    <row r="159" spans="3:4">
      <c r="C159" s="32"/>
      <c r="D159" s="41"/>
    </row>
    <row r="160" spans="3:4">
      <c r="C160" s="32"/>
      <c r="D160" s="41"/>
    </row>
    <row r="161" spans="3:4">
      <c r="C161" s="32"/>
      <c r="D161" s="41"/>
    </row>
    <row r="162" spans="3:4">
      <c r="C162" s="32"/>
      <c r="D162" s="41"/>
    </row>
    <row r="163" spans="3:4">
      <c r="C163" s="32"/>
      <c r="D163" s="41"/>
    </row>
    <row r="164" spans="3:4">
      <c r="C164" s="32"/>
      <c r="D164" s="41"/>
    </row>
    <row r="165" spans="3:4">
      <c r="C165" s="32"/>
      <c r="D165" s="41"/>
    </row>
    <row r="166" spans="3:4">
      <c r="C166" s="32"/>
      <c r="D166" s="41"/>
    </row>
  </sheetData>
  <mergeCells count="4">
    <mergeCell ref="M26:O26"/>
    <mergeCell ref="M19:O19"/>
    <mergeCell ref="M74:O74"/>
    <mergeCell ref="M68:O68"/>
  </mergeCells>
  <phoneticPr fontId="4"/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U188"/>
  <sheetViews>
    <sheetView topLeftCell="A45" zoomScaleNormal="100" workbookViewId="0">
      <selection activeCell="B70" sqref="B70"/>
    </sheetView>
  </sheetViews>
  <sheetFormatPr defaultRowHeight="12.75"/>
  <cols>
    <col min="1" max="1" width="11" customWidth="1"/>
    <col min="2" max="2" width="17" customWidth="1"/>
    <col min="3" max="6" width="11.875" customWidth="1"/>
    <col min="7" max="7" width="13.625" bestFit="1" customWidth="1"/>
    <col min="8" max="8" width="11" customWidth="1"/>
    <col min="9" max="11" width="12.25" style="1" bestFit="1" customWidth="1"/>
    <col min="12" max="12" width="10.75" style="1" customWidth="1"/>
    <col min="13" max="14" width="11" customWidth="1"/>
    <col min="15" max="15" width="10.875" customWidth="1"/>
    <col min="16" max="17" width="14.625" customWidth="1"/>
    <col min="18" max="256" width="11" customWidth="1"/>
  </cols>
  <sheetData>
    <row r="1" spans="1:4" ht="15">
      <c r="A1" s="57" t="s">
        <v>56</v>
      </c>
    </row>
    <row r="4" spans="1:4">
      <c r="B4" t="s">
        <v>434</v>
      </c>
    </row>
    <row r="6" spans="1:4">
      <c r="C6" t="s">
        <v>435</v>
      </c>
    </row>
    <row r="7" spans="1:4">
      <c r="C7" s="48">
        <v>2</v>
      </c>
      <c r="D7" s="48">
        <v>5</v>
      </c>
    </row>
    <row r="8" spans="1:4">
      <c r="C8" s="48">
        <v>5</v>
      </c>
      <c r="D8" s="48">
        <v>15</v>
      </c>
    </row>
    <row r="10" spans="1:4">
      <c r="C10" t="s">
        <v>436</v>
      </c>
    </row>
    <row r="11" spans="1:4">
      <c r="C11" s="48">
        <v>19</v>
      </c>
    </row>
    <row r="12" spans="1:4">
      <c r="C12" s="48">
        <v>55</v>
      </c>
    </row>
    <row r="14" spans="1:4">
      <c r="C14" t="s">
        <v>437</v>
      </c>
    </row>
    <row r="15" spans="1:4">
      <c r="C15" s="48">
        <f t="array" ref="C15:D16">MINVERSE(C7:D8)</f>
        <v>3</v>
      </c>
      <c r="D15" s="48">
        <v>-1</v>
      </c>
    </row>
    <row r="16" spans="1:4">
      <c r="C16" s="48">
        <v>-1</v>
      </c>
      <c r="D16" s="48">
        <v>0.4</v>
      </c>
    </row>
    <row r="18" spans="1:21">
      <c r="C18" t="s">
        <v>438</v>
      </c>
    </row>
    <row r="19" spans="1:21">
      <c r="C19" s="48">
        <f t="array" ref="C19:C20">{2;3}</f>
        <v>2</v>
      </c>
    </row>
    <row r="20" spans="1:21">
      <c r="C20" s="48">
        <v>3</v>
      </c>
    </row>
    <row r="25" spans="1:21" ht="13.5" thickBot="1">
      <c r="B25" s="24" t="s">
        <v>147</v>
      </c>
      <c r="C25" s="10"/>
      <c r="D25" s="11"/>
      <c r="E25" s="10"/>
    </row>
    <row r="26" spans="1:21" ht="13.5" thickTop="1">
      <c r="C26" s="1" t="s">
        <v>20</v>
      </c>
      <c r="D26" s="1" t="s">
        <v>12</v>
      </c>
      <c r="E26" s="1" t="s">
        <v>12</v>
      </c>
      <c r="G26" s="7" t="s">
        <v>445</v>
      </c>
      <c r="I26"/>
      <c r="J26"/>
      <c r="R26">
        <v>2</v>
      </c>
      <c r="S26">
        <v>5</v>
      </c>
      <c r="U26">
        <v>19</v>
      </c>
    </row>
    <row r="27" spans="1:21">
      <c r="B27" s="30" t="s">
        <v>444</v>
      </c>
      <c r="C27" s="29" t="s">
        <v>173</v>
      </c>
      <c r="D27" s="29" t="s">
        <v>173</v>
      </c>
      <c r="E27" s="29" t="s">
        <v>174</v>
      </c>
      <c r="H27" s="1" t="s">
        <v>448</v>
      </c>
      <c r="I27" s="1" t="s">
        <v>449</v>
      </c>
      <c r="J27" s="1" t="s">
        <v>31</v>
      </c>
      <c r="R27">
        <v>5</v>
      </c>
      <c r="S27">
        <v>15</v>
      </c>
      <c r="U27">
        <v>15</v>
      </c>
    </row>
    <row r="28" spans="1:21">
      <c r="A28">
        <v>1</v>
      </c>
      <c r="B28" s="5" t="s">
        <v>413</v>
      </c>
      <c r="C28" s="14">
        <v>23.14</v>
      </c>
      <c r="D28" s="14">
        <v>3.5</v>
      </c>
      <c r="E28" s="14">
        <v>3.77</v>
      </c>
      <c r="G28" s="1" t="s">
        <v>448</v>
      </c>
      <c r="H28" s="38">
        <v>1</v>
      </c>
      <c r="I28" s="38">
        <f>H29</f>
        <v>0.89543107849602177</v>
      </c>
      <c r="J28" s="38">
        <f>H30</f>
        <v>0.85948121238963882</v>
      </c>
      <c r="K28" s="14"/>
      <c r="L28" s="14"/>
    </row>
    <row r="29" spans="1:21">
      <c r="A29">
        <v>2</v>
      </c>
      <c r="B29" s="5" t="s">
        <v>414</v>
      </c>
      <c r="C29" s="14">
        <v>14.32</v>
      </c>
      <c r="D29" s="14">
        <v>3.97</v>
      </c>
      <c r="E29" s="14">
        <v>4.08</v>
      </c>
      <c r="G29" s="1" t="s">
        <v>449</v>
      </c>
      <c r="H29" s="38">
        <f>CORREL(C28:C47,D28:D47)</f>
        <v>0.89543107849602177</v>
      </c>
      <c r="I29" s="38">
        <v>1</v>
      </c>
      <c r="J29" s="38">
        <f>I30</f>
        <v>0.90918237966209525</v>
      </c>
      <c r="K29" s="14"/>
      <c r="L29" s="14"/>
      <c r="R29" s="14">
        <f t="array" ref="R29:S30">MINVERSE(R26:S27)</f>
        <v>3</v>
      </c>
      <c r="S29" s="14">
        <v>-1</v>
      </c>
    </row>
    <row r="30" spans="1:21">
      <c r="A30">
        <v>3</v>
      </c>
      <c r="B30" s="5" t="s">
        <v>415</v>
      </c>
      <c r="C30" s="14">
        <v>51.69</v>
      </c>
      <c r="D30" s="14">
        <v>10.91</v>
      </c>
      <c r="E30" s="14">
        <v>10.72</v>
      </c>
      <c r="G30" s="1" t="s">
        <v>31</v>
      </c>
      <c r="H30" s="38">
        <f>CORREL(C28:C47,E28:E47)</f>
        <v>0.85948121238963882</v>
      </c>
      <c r="I30" s="38">
        <f>CORREL(D28:D47,E28:E47)</f>
        <v>0.90918237966209525</v>
      </c>
      <c r="J30" s="38">
        <v>1</v>
      </c>
      <c r="K30" s="14"/>
      <c r="L30" s="14"/>
      <c r="R30" s="14">
        <v>-1</v>
      </c>
      <c r="S30" s="14">
        <v>0.4</v>
      </c>
    </row>
    <row r="31" spans="1:21">
      <c r="A31">
        <v>4</v>
      </c>
      <c r="B31" s="5" t="s">
        <v>416</v>
      </c>
      <c r="C31" s="14">
        <v>21.15</v>
      </c>
      <c r="D31" s="14">
        <v>4.9000000000000004</v>
      </c>
      <c r="E31" s="14">
        <v>4.6900000000000004</v>
      </c>
      <c r="H31" s="14"/>
      <c r="I31" s="14"/>
      <c r="J31" s="14"/>
      <c r="K31" s="14"/>
      <c r="L31" s="14"/>
    </row>
    <row r="32" spans="1:21">
      <c r="A32">
        <v>5</v>
      </c>
      <c r="B32" s="5" t="s">
        <v>417</v>
      </c>
      <c r="C32" s="14">
        <f>21.16+(21.16/2)</f>
        <v>31.740000000000002</v>
      </c>
      <c r="D32" s="14">
        <v>9.33</v>
      </c>
      <c r="E32" s="14">
        <v>12.11</v>
      </c>
      <c r="H32" t="s">
        <v>306</v>
      </c>
      <c r="I32" s="14"/>
      <c r="J32" s="14"/>
      <c r="K32" s="14"/>
      <c r="L32" s="14"/>
      <c r="R32">
        <f t="array" ref="R32:R33">MMULT(R29:S30,U26:U27)</f>
        <v>42</v>
      </c>
    </row>
    <row r="33" spans="1:19">
      <c r="A33">
        <v>6</v>
      </c>
      <c r="B33" s="5" t="s">
        <v>179</v>
      </c>
      <c r="C33" s="14">
        <v>36.81</v>
      </c>
      <c r="D33" s="14">
        <v>11.35</v>
      </c>
      <c r="E33" s="14">
        <v>10.1</v>
      </c>
      <c r="I33" s="14"/>
      <c r="J33" s="14"/>
      <c r="K33" s="14"/>
      <c r="L33" s="14"/>
      <c r="R33">
        <v>-13</v>
      </c>
    </row>
    <row r="34" spans="1:19">
      <c r="A34">
        <v>7</v>
      </c>
      <c r="B34" s="5" t="s">
        <v>400</v>
      </c>
      <c r="C34" s="14">
        <f>16.75+(16.75/2)</f>
        <v>25.125</v>
      </c>
      <c r="D34" s="14">
        <v>6.39</v>
      </c>
      <c r="E34" s="14">
        <v>6.81</v>
      </c>
      <c r="H34" t="s">
        <v>307</v>
      </c>
      <c r="I34" s="14"/>
      <c r="J34" s="14"/>
      <c r="K34" s="14"/>
      <c r="L34" s="14"/>
    </row>
    <row r="35" spans="1:19">
      <c r="A35">
        <v>8</v>
      </c>
      <c r="B35" s="5" t="s">
        <v>14</v>
      </c>
      <c r="C35" s="14">
        <v>32.93</v>
      </c>
      <c r="D35" s="14">
        <v>8.4600000000000009</v>
      </c>
      <c r="E35" s="14">
        <v>6.08</v>
      </c>
      <c r="H35" s="14"/>
      <c r="I35" s="14"/>
      <c r="J35" s="14"/>
      <c r="K35" s="14"/>
      <c r="L35" s="14"/>
      <c r="S35">
        <f>(2*42)+(5*(-13))</f>
        <v>19</v>
      </c>
    </row>
    <row r="36" spans="1:19">
      <c r="A36">
        <v>9</v>
      </c>
      <c r="B36" s="5" t="s">
        <v>376</v>
      </c>
      <c r="C36" s="14">
        <v>21.81</v>
      </c>
      <c r="D36" s="14">
        <v>6.92</v>
      </c>
      <c r="E36" s="14">
        <v>9.01</v>
      </c>
      <c r="H36" s="7" t="s">
        <v>439</v>
      </c>
      <c r="J36" s="14"/>
      <c r="K36" s="14"/>
      <c r="L36" s="14"/>
      <c r="S36">
        <f>(5*42)+(15*(-13))</f>
        <v>15</v>
      </c>
    </row>
    <row r="37" spans="1:19">
      <c r="A37">
        <v>10</v>
      </c>
      <c r="B37" s="5" t="s">
        <v>16</v>
      </c>
      <c r="C37" s="14">
        <v>13.88</v>
      </c>
      <c r="D37" s="14">
        <v>5.03</v>
      </c>
      <c r="E37" s="14">
        <v>4.34</v>
      </c>
      <c r="H37" s="15">
        <v>1</v>
      </c>
      <c r="I37" s="15">
        <f>H38</f>
        <v>0.90918237966209525</v>
      </c>
      <c r="J37" s="14"/>
      <c r="K37" s="14"/>
      <c r="L37" s="14"/>
    </row>
    <row r="38" spans="1:19">
      <c r="A38">
        <v>11</v>
      </c>
      <c r="B38" s="5" t="s">
        <v>377</v>
      </c>
      <c r="C38" s="14">
        <v>21.43</v>
      </c>
      <c r="D38" s="14">
        <v>7.03</v>
      </c>
      <c r="E38" s="14">
        <v>6.79</v>
      </c>
      <c r="H38" s="15">
        <f>I30</f>
        <v>0.90918237966209525</v>
      </c>
      <c r="I38" s="15">
        <v>1</v>
      </c>
      <c r="J38" s="14"/>
      <c r="K38" s="14"/>
      <c r="L38" s="14"/>
    </row>
    <row r="39" spans="1:19">
      <c r="A39">
        <v>12</v>
      </c>
      <c r="B39" s="5" t="s">
        <v>272</v>
      </c>
      <c r="C39" s="14">
        <f>15.13+(15.13*0.8)</f>
        <v>27.234000000000002</v>
      </c>
      <c r="D39" s="14">
        <v>5.3</v>
      </c>
      <c r="E39" s="14">
        <v>8.19</v>
      </c>
      <c r="H39" s="38"/>
      <c r="I39" s="38"/>
      <c r="J39" s="14"/>
      <c r="K39" s="14"/>
      <c r="L39" s="14"/>
    </row>
    <row r="40" spans="1:19">
      <c r="A40">
        <v>13</v>
      </c>
      <c r="B40" s="5" t="s">
        <v>221</v>
      </c>
      <c r="C40" s="14">
        <v>38.15</v>
      </c>
      <c r="D40" s="14">
        <v>9.4</v>
      </c>
      <c r="E40" s="14">
        <v>8.7100000000000009</v>
      </c>
      <c r="H40" s="7" t="s">
        <v>440</v>
      </c>
      <c r="I40"/>
      <c r="J40" s="14"/>
      <c r="K40" s="14"/>
      <c r="L40" s="14"/>
    </row>
    <row r="41" spans="1:19">
      <c r="A41">
        <v>14</v>
      </c>
      <c r="B41" s="5" t="s">
        <v>181</v>
      </c>
      <c r="C41" s="14">
        <v>40.11</v>
      </c>
      <c r="D41" s="14">
        <v>14.98</v>
      </c>
      <c r="E41" s="14">
        <v>12.98</v>
      </c>
      <c r="H41" s="38">
        <f>H29</f>
        <v>0.89543107849602177</v>
      </c>
      <c r="I41"/>
      <c r="J41" s="14"/>
      <c r="K41" s="14"/>
      <c r="L41" s="14"/>
    </row>
    <row r="42" spans="1:19">
      <c r="A42">
        <v>15</v>
      </c>
      <c r="B42" s="5" t="s">
        <v>182</v>
      </c>
      <c r="C42" s="14">
        <v>62.17</v>
      </c>
      <c r="D42" s="14">
        <v>12.25</v>
      </c>
      <c r="E42" s="14">
        <v>8.7100000000000009</v>
      </c>
      <c r="H42" s="38">
        <f>H30</f>
        <v>0.85948121238963882</v>
      </c>
      <c r="I42"/>
      <c r="J42" s="14"/>
      <c r="K42" s="14"/>
      <c r="L42" s="14"/>
    </row>
    <row r="43" spans="1:19">
      <c r="A43">
        <v>16</v>
      </c>
      <c r="B43" s="5" t="s">
        <v>156</v>
      </c>
      <c r="C43" s="14">
        <v>55.94</v>
      </c>
      <c r="D43" s="14">
        <v>19</v>
      </c>
      <c r="E43" s="14">
        <v>13.1</v>
      </c>
      <c r="I43"/>
      <c r="J43" s="14"/>
      <c r="K43" s="14"/>
      <c r="L43" s="14"/>
    </row>
    <row r="44" spans="1:19">
      <c r="A44">
        <v>17</v>
      </c>
      <c r="B44" s="5" t="s">
        <v>157</v>
      </c>
      <c r="C44" s="14">
        <v>23.31</v>
      </c>
      <c r="D44" s="14">
        <v>3.84</v>
      </c>
      <c r="E44" s="14">
        <v>4.5999999999999996</v>
      </c>
      <c r="H44" s="7" t="s">
        <v>441</v>
      </c>
      <c r="I44"/>
      <c r="J44" s="14"/>
      <c r="K44" s="14"/>
      <c r="L44" s="14"/>
    </row>
    <row r="45" spans="1:19">
      <c r="A45">
        <v>18</v>
      </c>
      <c r="B45" s="5" t="s">
        <v>10</v>
      </c>
      <c r="C45" s="14">
        <v>46.12</v>
      </c>
      <c r="D45" s="14">
        <v>8.15</v>
      </c>
      <c r="E45" s="14">
        <v>11.42</v>
      </c>
      <c r="H45" s="15">
        <f t="array" ref="H45:I46">MINVERSE(H37:I38)</f>
        <v>5.7674317571360421</v>
      </c>
      <c r="I45" s="15">
        <v>-5.2436473294916865</v>
      </c>
      <c r="J45" s="14"/>
      <c r="K45" s="14"/>
      <c r="L45" s="14"/>
    </row>
    <row r="46" spans="1:19">
      <c r="A46">
        <v>19</v>
      </c>
      <c r="B46" s="5" t="s">
        <v>158</v>
      </c>
      <c r="C46" s="14">
        <v>89.43</v>
      </c>
      <c r="D46" s="14">
        <v>23.18</v>
      </c>
      <c r="E46" s="14">
        <v>21.52</v>
      </c>
      <c r="H46" s="15">
        <v>-5.2436473294916865</v>
      </c>
      <c r="I46" s="15">
        <v>5.7674317571360429</v>
      </c>
      <c r="J46" s="14"/>
      <c r="K46" s="14"/>
      <c r="L46" s="14"/>
    </row>
    <row r="47" spans="1:19">
      <c r="A47">
        <v>20</v>
      </c>
      <c r="B47" s="5" t="s">
        <v>11</v>
      </c>
      <c r="C47" s="14">
        <v>47.89</v>
      </c>
      <c r="D47" s="14">
        <v>13.56</v>
      </c>
      <c r="E47" s="14">
        <v>11.78</v>
      </c>
      <c r="I47"/>
      <c r="J47" s="14"/>
      <c r="K47" s="14"/>
      <c r="L47" s="14"/>
    </row>
    <row r="48" spans="1:19">
      <c r="H48" s="42" t="s">
        <v>450</v>
      </c>
      <c r="I48" s="38"/>
      <c r="J48"/>
      <c r="K48"/>
    </row>
    <row r="49" spans="1:18">
      <c r="B49" s="6" t="s">
        <v>185</v>
      </c>
      <c r="C49" s="3">
        <f>SUM(C28:C47)</f>
        <v>724.37900000000002</v>
      </c>
      <c r="D49" s="3">
        <f>SUM(D28:D47)</f>
        <v>187.45000000000005</v>
      </c>
      <c r="E49" s="3">
        <f>SUM(E28:E47)</f>
        <v>179.51</v>
      </c>
      <c r="H49" s="15">
        <f t="array" ref="H49:H50">MMULT(H45:I46,H41:H42)</f>
        <v>0.65752127434932461</v>
      </c>
      <c r="I49" s="38"/>
      <c r="J49" s="14"/>
      <c r="K49" s="14"/>
      <c r="L49" s="38"/>
    </row>
    <row r="50" spans="1:18">
      <c r="B50" t="s">
        <v>178</v>
      </c>
      <c r="C50" s="3">
        <f>AVERAGE(C28:C47)</f>
        <v>36.21895</v>
      </c>
      <c r="D50" s="3">
        <f>AVERAGE(D28:D47)</f>
        <v>9.3725000000000023</v>
      </c>
      <c r="E50" s="3">
        <f>AVERAGE(E28:E47)</f>
        <v>8.9755000000000003</v>
      </c>
      <c r="H50" s="15">
        <v>0.26167445549826596</v>
      </c>
      <c r="I50" s="38"/>
      <c r="J50" s="38"/>
      <c r="K50" s="38"/>
      <c r="L50" s="38"/>
    </row>
    <row r="51" spans="1:18">
      <c r="B51" s="31" t="s">
        <v>184</v>
      </c>
      <c r="C51" s="13">
        <f>STDEV(C28:C47)</f>
        <v>18.625094558502457</v>
      </c>
      <c r="D51" s="13">
        <f>STDEV(D28:D47)</f>
        <v>5.2280829484419442</v>
      </c>
      <c r="E51" s="13">
        <f>STDEV(E28:E47)</f>
        <v>4.2738870204016752</v>
      </c>
      <c r="J51" s="37"/>
    </row>
    <row r="52" spans="1:18">
      <c r="J52" s="37"/>
    </row>
    <row r="53" spans="1:18">
      <c r="H53" t="s">
        <v>446</v>
      </c>
      <c r="I53"/>
      <c r="J53" s="37"/>
    </row>
    <row r="54" spans="1:18">
      <c r="H54" s="2" t="s">
        <v>308</v>
      </c>
      <c r="I54" s="15">
        <f>H49</f>
        <v>0.65752127434932461</v>
      </c>
      <c r="O54" s="1"/>
      <c r="Q54" s="1"/>
    </row>
    <row r="55" spans="1:18">
      <c r="H55" s="2" t="s">
        <v>316</v>
      </c>
      <c r="I55" s="15">
        <f>H50</f>
        <v>0.26167445549826596</v>
      </c>
      <c r="K55" s="32"/>
      <c r="L55" s="39"/>
      <c r="N55" s="30"/>
      <c r="O55" s="29"/>
      <c r="Q55" s="29"/>
      <c r="R55" s="29"/>
    </row>
    <row r="56" spans="1:18">
      <c r="C56" s="1" t="s">
        <v>20</v>
      </c>
      <c r="D56" s="1" t="s">
        <v>141</v>
      </c>
      <c r="F56" s="1"/>
      <c r="I56" s="2"/>
      <c r="L56" s="39"/>
      <c r="N56" s="5"/>
      <c r="O56" s="14"/>
      <c r="P56" s="18"/>
      <c r="Q56" s="14"/>
      <c r="R56" s="14"/>
    </row>
    <row r="57" spans="1:18">
      <c r="B57" s="30" t="s">
        <v>444</v>
      </c>
      <c r="C57" s="29" t="s">
        <v>173</v>
      </c>
      <c r="D57" s="29" t="s">
        <v>173</v>
      </c>
      <c r="E57" s="29" t="s">
        <v>362</v>
      </c>
      <c r="F57" s="38"/>
      <c r="H57" t="s">
        <v>7</v>
      </c>
      <c r="I57" s="2"/>
      <c r="J57" s="38"/>
      <c r="K57" s="38"/>
      <c r="L57" s="39"/>
      <c r="N57" s="5"/>
      <c r="O57" s="14"/>
      <c r="P57" s="18"/>
      <c r="Q57" s="14"/>
      <c r="R57" s="14"/>
    </row>
    <row r="58" spans="1:18">
      <c r="A58">
        <v>1</v>
      </c>
      <c r="B58" s="5" t="s">
        <v>413</v>
      </c>
      <c r="C58" s="14">
        <v>23.14</v>
      </c>
      <c r="D58" s="14">
        <f>6.003+(D28*2.342)+(E28*1.14)</f>
        <v>18.497800000000002</v>
      </c>
      <c r="E58" s="14">
        <f>C58-D58</f>
        <v>4.642199999999999</v>
      </c>
      <c r="F58" s="38"/>
      <c r="H58" s="2" t="s">
        <v>317</v>
      </c>
      <c r="I58" s="15">
        <f>I54*(C51/D51)</f>
        <v>2.3424257093382264</v>
      </c>
      <c r="J58" s="38"/>
      <c r="K58" s="38"/>
      <c r="L58" s="39"/>
      <c r="N58" s="5"/>
      <c r="O58" s="14"/>
      <c r="P58" s="18"/>
      <c r="Q58" s="14"/>
      <c r="R58" s="14"/>
    </row>
    <row r="59" spans="1:18">
      <c r="A59">
        <v>2</v>
      </c>
      <c r="B59" s="5" t="s">
        <v>414</v>
      </c>
      <c r="C59" s="14">
        <v>14.32</v>
      </c>
      <c r="D59" s="14">
        <f t="shared" ref="D59:D77" si="0">6.003+(D29*2.342)+(E29*1.14)</f>
        <v>19.95194</v>
      </c>
      <c r="E59" s="14">
        <f t="shared" ref="E59:E77" si="1">C59-D59</f>
        <v>-5.6319400000000002</v>
      </c>
      <c r="F59" s="38"/>
      <c r="H59" s="2" t="s">
        <v>318</v>
      </c>
      <c r="I59" s="43">
        <f>I55*(C51/E51)</f>
        <v>1.1403463530820706</v>
      </c>
      <c r="J59" s="38"/>
      <c r="K59" s="38"/>
      <c r="L59" s="39"/>
      <c r="N59" s="5"/>
      <c r="O59" s="14"/>
      <c r="P59" s="18"/>
      <c r="Q59" s="14"/>
      <c r="R59" s="14"/>
    </row>
    <row r="60" spans="1:18">
      <c r="A60">
        <v>3</v>
      </c>
      <c r="B60" s="5" t="s">
        <v>415</v>
      </c>
      <c r="C60" s="14">
        <v>51.69</v>
      </c>
      <c r="D60" s="14">
        <f t="shared" si="0"/>
        <v>43.775019999999998</v>
      </c>
      <c r="E60" s="14">
        <f t="shared" si="1"/>
        <v>7.9149799999999999</v>
      </c>
      <c r="F60" s="38"/>
      <c r="I60" s="43"/>
      <c r="J60" s="38"/>
      <c r="K60" s="38"/>
      <c r="L60" s="39"/>
      <c r="N60" s="5"/>
      <c r="O60" s="14"/>
      <c r="P60" s="18"/>
      <c r="Q60" s="14"/>
      <c r="R60" s="14"/>
    </row>
    <row r="61" spans="1:18">
      <c r="A61">
        <v>4</v>
      </c>
      <c r="B61" s="5" t="s">
        <v>416</v>
      </c>
      <c r="C61" s="14">
        <v>21.15</v>
      </c>
      <c r="D61" s="14">
        <f t="shared" si="0"/>
        <v>22.825399999999998</v>
      </c>
      <c r="E61" s="14">
        <f t="shared" si="1"/>
        <v>-1.6753999999999998</v>
      </c>
      <c r="F61" s="2"/>
      <c r="H61" t="s">
        <v>140</v>
      </c>
      <c r="I61" s="43"/>
      <c r="K61" s="32"/>
      <c r="L61" s="39"/>
      <c r="N61" s="5"/>
      <c r="O61" s="14"/>
      <c r="P61" s="18"/>
      <c r="Q61" s="14"/>
      <c r="R61" s="14"/>
    </row>
    <row r="62" spans="1:18">
      <c r="A62">
        <v>5</v>
      </c>
      <c r="B62" s="5" t="s">
        <v>417</v>
      </c>
      <c r="C62" s="14">
        <f>21.16+(21.16/2)</f>
        <v>31.740000000000002</v>
      </c>
      <c r="D62" s="14">
        <f t="shared" si="0"/>
        <v>41.659260000000003</v>
      </c>
      <c r="E62" s="14">
        <f t="shared" si="1"/>
        <v>-9.9192600000000013</v>
      </c>
      <c r="H62" s="2" t="s">
        <v>319</v>
      </c>
      <c r="I62" s="15">
        <f>C50-(D50*I58)-(E50*I59)</f>
        <v>4.0293863471393419</v>
      </c>
      <c r="K62" s="32"/>
      <c r="L62" s="39"/>
      <c r="N62" s="5"/>
      <c r="O62" s="14"/>
      <c r="P62" s="18"/>
      <c r="Q62" s="14"/>
      <c r="R62" s="14"/>
    </row>
    <row r="63" spans="1:18">
      <c r="A63">
        <v>6</v>
      </c>
      <c r="B63" s="5" t="s">
        <v>179</v>
      </c>
      <c r="C63" s="14">
        <v>36.81</v>
      </c>
      <c r="D63" s="14">
        <f t="shared" si="0"/>
        <v>44.098699999999994</v>
      </c>
      <c r="E63" s="14">
        <f t="shared" si="1"/>
        <v>-7.2886999999999915</v>
      </c>
      <c r="I63" s="2"/>
      <c r="L63" s="39"/>
      <c r="N63" s="5"/>
      <c r="O63" s="14"/>
      <c r="P63" s="18"/>
      <c r="Q63" s="14"/>
      <c r="R63" s="14"/>
    </row>
    <row r="64" spans="1:18">
      <c r="A64">
        <v>7</v>
      </c>
      <c r="B64" s="5" t="s">
        <v>400</v>
      </c>
      <c r="C64" s="14">
        <f>16.75+(16.75/2)</f>
        <v>25.125</v>
      </c>
      <c r="D64" s="14">
        <f t="shared" si="0"/>
        <v>28.731780000000001</v>
      </c>
      <c r="E64" s="14">
        <f t="shared" si="1"/>
        <v>-3.6067800000000005</v>
      </c>
      <c r="F64" s="18"/>
      <c r="H64" s="2" t="s">
        <v>447</v>
      </c>
      <c r="I64" s="15">
        <f>(H29*I54)+(H30*I55)</f>
        <v>0.8136692620877426</v>
      </c>
      <c r="L64" s="39"/>
      <c r="N64" s="5"/>
      <c r="O64" s="14"/>
      <c r="P64" s="18"/>
      <c r="Q64" s="14"/>
      <c r="R64" s="14"/>
    </row>
    <row r="65" spans="1:18">
      <c r="A65">
        <v>8</v>
      </c>
      <c r="B65" s="5" t="s">
        <v>14</v>
      </c>
      <c r="C65" s="14">
        <v>32.93</v>
      </c>
      <c r="D65" s="14">
        <f t="shared" si="0"/>
        <v>32.747520000000002</v>
      </c>
      <c r="E65" s="14">
        <f t="shared" si="1"/>
        <v>0.1824799999999982</v>
      </c>
      <c r="F65" s="18"/>
      <c r="L65" s="39"/>
      <c r="N65" s="5"/>
      <c r="O65" s="14"/>
      <c r="P65" s="18"/>
      <c r="Q65" s="14"/>
      <c r="R65" s="14"/>
    </row>
    <row r="66" spans="1:18">
      <c r="A66">
        <v>9</v>
      </c>
      <c r="B66" s="5" t="s">
        <v>376</v>
      </c>
      <c r="C66" s="14">
        <v>21.81</v>
      </c>
      <c r="D66" s="14">
        <f t="shared" si="0"/>
        <v>32.48104</v>
      </c>
      <c r="E66" s="14">
        <f t="shared" si="1"/>
        <v>-10.671040000000001</v>
      </c>
      <c r="F66" s="18"/>
      <c r="H66" t="s">
        <v>142</v>
      </c>
      <c r="J66" s="1" t="s">
        <v>145</v>
      </c>
      <c r="K66" s="1" t="s">
        <v>146</v>
      </c>
      <c r="L66" s="39"/>
      <c r="N66" s="5"/>
      <c r="O66" s="14"/>
      <c r="P66" s="18"/>
      <c r="Q66" s="14"/>
      <c r="R66" s="14"/>
    </row>
    <row r="67" spans="1:18">
      <c r="A67">
        <v>10</v>
      </c>
      <c r="B67" s="5" t="s">
        <v>16</v>
      </c>
      <c r="C67" s="14">
        <v>13.88</v>
      </c>
      <c r="D67" s="14">
        <f t="shared" si="0"/>
        <v>22.73086</v>
      </c>
      <c r="E67" s="14">
        <f t="shared" si="1"/>
        <v>-8.8508599999999991</v>
      </c>
      <c r="F67" s="18"/>
      <c r="H67" t="s">
        <v>143</v>
      </c>
      <c r="I67" s="15">
        <f>(SUMSQ(C58:C77))*I64</f>
        <v>26710.51255157276</v>
      </c>
      <c r="J67" s="1">
        <v>2</v>
      </c>
      <c r="K67" s="15">
        <f>I67/J67</f>
        <v>13355.25627578638</v>
      </c>
      <c r="L67" s="39"/>
      <c r="N67" s="5"/>
      <c r="O67" s="14"/>
      <c r="P67" s="18"/>
      <c r="Q67" s="14"/>
      <c r="R67" s="14"/>
    </row>
    <row r="68" spans="1:18">
      <c r="A68">
        <v>11</v>
      </c>
      <c r="B68" s="5" t="s">
        <v>377</v>
      </c>
      <c r="C68" s="14">
        <v>21.43</v>
      </c>
      <c r="D68" s="14">
        <f t="shared" si="0"/>
        <v>30.20786</v>
      </c>
      <c r="E68" s="14">
        <f t="shared" si="1"/>
        <v>-8.7778600000000004</v>
      </c>
      <c r="H68" t="s">
        <v>144</v>
      </c>
      <c r="I68" s="15">
        <f>(SUMSQ(C58:C77))*(1-I64)</f>
        <v>6116.7230294272422</v>
      </c>
      <c r="J68" s="1">
        <v>17</v>
      </c>
      <c r="K68" s="15">
        <f>I68/J68</f>
        <v>359.80723702513188</v>
      </c>
      <c r="L68" s="39"/>
      <c r="N68" s="5"/>
      <c r="O68" s="14"/>
      <c r="P68" s="18"/>
      <c r="Q68" s="14"/>
      <c r="R68" s="14"/>
    </row>
    <row r="69" spans="1:18">
      <c r="A69">
        <v>12</v>
      </c>
      <c r="B69" s="5" t="s">
        <v>272</v>
      </c>
      <c r="C69" s="14">
        <f>15.13+(15.13*0.8)</f>
        <v>27.234000000000002</v>
      </c>
      <c r="D69" s="14">
        <f t="shared" si="0"/>
        <v>27.752199999999995</v>
      </c>
      <c r="E69" s="14">
        <f t="shared" si="1"/>
        <v>-0.51819999999999311</v>
      </c>
      <c r="L69" s="39"/>
      <c r="N69" s="5"/>
      <c r="O69" s="14"/>
      <c r="P69" s="18"/>
      <c r="Q69" s="14"/>
      <c r="R69" s="14"/>
    </row>
    <row r="70" spans="1:18">
      <c r="A70">
        <v>13</v>
      </c>
      <c r="B70" s="5" t="s">
        <v>221</v>
      </c>
      <c r="C70" s="14">
        <v>38.15</v>
      </c>
      <c r="D70" s="14">
        <f t="shared" si="0"/>
        <v>37.947200000000002</v>
      </c>
      <c r="E70" s="14">
        <f t="shared" si="1"/>
        <v>0.20279999999999632</v>
      </c>
      <c r="H70" s="43" t="s">
        <v>361</v>
      </c>
      <c r="I70" s="15">
        <f>K67/K68</f>
        <v>37.117808930712364</v>
      </c>
      <c r="K70" s="32"/>
      <c r="L70" s="39"/>
      <c r="N70" s="5"/>
      <c r="O70" s="14"/>
      <c r="P70" s="18"/>
      <c r="Q70" s="14"/>
      <c r="R70" s="14"/>
    </row>
    <row r="71" spans="1:18">
      <c r="A71">
        <v>14</v>
      </c>
      <c r="B71" s="5" t="s">
        <v>181</v>
      </c>
      <c r="C71" s="14">
        <v>40.11</v>
      </c>
      <c r="D71" s="14">
        <f t="shared" si="0"/>
        <v>55.883359999999996</v>
      </c>
      <c r="E71" s="14">
        <f t="shared" si="1"/>
        <v>-15.773359999999997</v>
      </c>
      <c r="H71" s="36"/>
      <c r="K71" s="32"/>
      <c r="L71" s="39"/>
      <c r="N71" s="5"/>
      <c r="O71" s="14"/>
      <c r="P71" s="18"/>
      <c r="Q71" s="14"/>
      <c r="R71" s="14"/>
    </row>
    <row r="72" spans="1:18">
      <c r="A72">
        <v>15</v>
      </c>
      <c r="B72" s="5" t="s">
        <v>182</v>
      </c>
      <c r="C72" s="14">
        <v>62.17</v>
      </c>
      <c r="D72" s="14">
        <f t="shared" si="0"/>
        <v>44.621900000000004</v>
      </c>
      <c r="E72" s="14">
        <f t="shared" si="1"/>
        <v>17.548099999999998</v>
      </c>
      <c r="I72" s="44"/>
      <c r="K72" s="32"/>
      <c r="L72" s="39"/>
      <c r="N72" s="5"/>
      <c r="O72" s="14"/>
      <c r="P72" s="18"/>
      <c r="Q72" s="14"/>
      <c r="R72" s="14"/>
    </row>
    <row r="73" spans="1:18">
      <c r="A73">
        <v>16</v>
      </c>
      <c r="B73" s="5" t="s">
        <v>156</v>
      </c>
      <c r="C73" s="14">
        <v>55.94</v>
      </c>
      <c r="D73" s="14">
        <f t="shared" si="0"/>
        <v>65.435000000000002</v>
      </c>
      <c r="E73" s="14">
        <f t="shared" si="1"/>
        <v>-9.4950000000000045</v>
      </c>
      <c r="K73" s="32"/>
      <c r="L73" s="39"/>
      <c r="N73" s="5"/>
      <c r="O73" s="14"/>
      <c r="P73" s="18"/>
      <c r="Q73" s="14"/>
      <c r="R73" s="14"/>
    </row>
    <row r="74" spans="1:18">
      <c r="A74">
        <v>17</v>
      </c>
      <c r="B74" s="5" t="s">
        <v>157</v>
      </c>
      <c r="C74" s="14">
        <v>23.31</v>
      </c>
      <c r="D74" s="14">
        <f t="shared" si="0"/>
        <v>20.240279999999998</v>
      </c>
      <c r="E74" s="14">
        <f t="shared" si="1"/>
        <v>3.0697200000000002</v>
      </c>
      <c r="K74" s="32"/>
      <c r="L74" s="39"/>
      <c r="N74" s="5"/>
      <c r="O74" s="14"/>
      <c r="P74" s="18"/>
      <c r="Q74" s="14"/>
      <c r="R74" s="14"/>
    </row>
    <row r="75" spans="1:18">
      <c r="A75">
        <v>18</v>
      </c>
      <c r="B75" s="5" t="s">
        <v>10</v>
      </c>
      <c r="C75" s="14">
        <v>46.12</v>
      </c>
      <c r="D75" s="14">
        <f t="shared" si="0"/>
        <v>38.109099999999998</v>
      </c>
      <c r="E75" s="14">
        <f t="shared" si="1"/>
        <v>8.0108999999999995</v>
      </c>
      <c r="H75" s="36"/>
      <c r="I75" s="36"/>
      <c r="J75" s="36"/>
      <c r="N75" s="5"/>
      <c r="O75" s="14"/>
      <c r="P75" s="18"/>
      <c r="Q75" s="14"/>
      <c r="R75" s="14"/>
    </row>
    <row r="76" spans="1:18">
      <c r="A76">
        <v>19</v>
      </c>
      <c r="B76" s="5" t="s">
        <v>158</v>
      </c>
      <c r="C76" s="14">
        <v>89.43</v>
      </c>
      <c r="D76" s="14">
        <f t="shared" si="0"/>
        <v>84.823359999999994</v>
      </c>
      <c r="E76" s="14">
        <f t="shared" si="1"/>
        <v>4.6066400000000129</v>
      </c>
      <c r="H76" s="36"/>
      <c r="I76" s="36"/>
      <c r="J76" s="36"/>
    </row>
    <row r="77" spans="1:18">
      <c r="A77">
        <v>20</v>
      </c>
      <c r="B77" s="5" t="s">
        <v>11</v>
      </c>
      <c r="C77" s="14">
        <v>47.89</v>
      </c>
      <c r="D77" s="14">
        <f t="shared" si="0"/>
        <v>51.189719999999994</v>
      </c>
      <c r="E77" s="14">
        <f t="shared" si="1"/>
        <v>-3.2997199999999935</v>
      </c>
      <c r="H77" s="36"/>
      <c r="I77" s="36"/>
      <c r="J77" s="36"/>
      <c r="O77" s="14"/>
    </row>
    <row r="79" spans="1:18">
      <c r="B79" s="17"/>
      <c r="C79" s="14"/>
      <c r="D79" s="14"/>
      <c r="E79" s="14"/>
    </row>
    <row r="80" spans="1:18">
      <c r="E80" s="32"/>
      <c r="I80"/>
    </row>
    <row r="81" spans="1:12">
      <c r="A81" s="22"/>
      <c r="B81" s="22"/>
      <c r="C81" s="22"/>
      <c r="D81" s="22"/>
      <c r="E81" s="45"/>
      <c r="F81" s="22"/>
      <c r="G81" s="22"/>
      <c r="H81" s="46"/>
      <c r="I81" s="46"/>
      <c r="J81" s="46"/>
      <c r="K81" s="25"/>
    </row>
    <row r="82" spans="1:12">
      <c r="E82" s="38"/>
      <c r="H82" s="40"/>
      <c r="I82" s="40"/>
      <c r="J82" s="40"/>
    </row>
    <row r="85" spans="1:12" ht="13.5" thickBot="1">
      <c r="B85" s="24" t="s">
        <v>260</v>
      </c>
      <c r="C85" s="10"/>
      <c r="D85" s="11"/>
      <c r="E85" s="10"/>
      <c r="F85" s="10"/>
    </row>
    <row r="86" spans="1:12" ht="13.5" thickTop="1">
      <c r="C86" s="1" t="s">
        <v>20</v>
      </c>
      <c r="D86" s="1" t="s">
        <v>12</v>
      </c>
      <c r="E86" s="1" t="s">
        <v>12</v>
      </c>
      <c r="F86" s="1" t="s">
        <v>18</v>
      </c>
      <c r="I86" s="7" t="s">
        <v>445</v>
      </c>
      <c r="J86"/>
      <c r="K86"/>
      <c r="L86"/>
    </row>
    <row r="87" spans="1:12">
      <c r="B87" s="30" t="s">
        <v>444</v>
      </c>
      <c r="C87" s="29" t="s">
        <v>173</v>
      </c>
      <c r="D87" s="29" t="s">
        <v>173</v>
      </c>
      <c r="E87" s="29" t="s">
        <v>174</v>
      </c>
      <c r="F87" s="29" t="s">
        <v>19</v>
      </c>
      <c r="I87" s="1" t="s">
        <v>448</v>
      </c>
      <c r="J87" s="1" t="s">
        <v>449</v>
      </c>
      <c r="K87" s="1" t="s">
        <v>31</v>
      </c>
      <c r="L87" s="1" t="s">
        <v>32</v>
      </c>
    </row>
    <row r="88" spans="1:12">
      <c r="A88">
        <v>1</v>
      </c>
      <c r="B88" s="5" t="s">
        <v>413</v>
      </c>
      <c r="C88" s="14">
        <v>23.14</v>
      </c>
      <c r="D88" s="14">
        <v>3.5</v>
      </c>
      <c r="E88" s="14">
        <v>3.77</v>
      </c>
      <c r="F88" s="14">
        <v>10.58</v>
      </c>
      <c r="H88" s="1" t="s">
        <v>448</v>
      </c>
      <c r="I88" s="38">
        <v>1</v>
      </c>
      <c r="J88" s="38">
        <f>I89</f>
        <v>0.89543107849602177</v>
      </c>
      <c r="K88" s="38">
        <f>I90</f>
        <v>0.85948121238963882</v>
      </c>
      <c r="L88" s="38">
        <f>I91</f>
        <v>0.90932408080812743</v>
      </c>
    </row>
    <row r="89" spans="1:12">
      <c r="A89">
        <v>2</v>
      </c>
      <c r="B89" s="5" t="s">
        <v>414</v>
      </c>
      <c r="C89" s="14">
        <v>14.32</v>
      </c>
      <c r="D89" s="14">
        <v>3.97</v>
      </c>
      <c r="E89" s="14">
        <v>4.08</v>
      </c>
      <c r="F89" s="14">
        <v>7.53</v>
      </c>
      <c r="H89" s="1" t="s">
        <v>449</v>
      </c>
      <c r="I89" s="38">
        <f>CORREL(C88:C107,D88:D107)</f>
        <v>0.89543107849602177</v>
      </c>
      <c r="J89" s="38">
        <v>1</v>
      </c>
      <c r="K89" s="38">
        <f>J90</f>
        <v>0.90918237966209525</v>
      </c>
      <c r="L89" s="38">
        <f>J91</f>
        <v>0.85094493100096813</v>
      </c>
    </row>
    <row r="90" spans="1:12">
      <c r="A90">
        <v>3</v>
      </c>
      <c r="B90" s="5" t="s">
        <v>415</v>
      </c>
      <c r="C90" s="14">
        <v>51.69</v>
      </c>
      <c r="D90" s="14">
        <v>10.91</v>
      </c>
      <c r="E90" s="14">
        <v>10.72</v>
      </c>
      <c r="F90" s="14">
        <v>18.190000000000001</v>
      </c>
      <c r="H90" s="1" t="s">
        <v>31</v>
      </c>
      <c r="I90" s="38">
        <f>CORREL(C88:C107,E88:E107)</f>
        <v>0.85948121238963882</v>
      </c>
      <c r="J90" s="38">
        <f>CORREL(D88:D107,E88:E107)</f>
        <v>0.90918237966209525</v>
      </c>
      <c r="K90" s="38">
        <v>1</v>
      </c>
      <c r="L90" s="38">
        <f>K91</f>
        <v>0.75493336682351353</v>
      </c>
    </row>
    <row r="91" spans="1:12">
      <c r="A91">
        <v>4</v>
      </c>
      <c r="B91" s="5" t="s">
        <v>416</v>
      </c>
      <c r="C91" s="14">
        <v>21.15</v>
      </c>
      <c r="D91" s="14">
        <v>4.9000000000000004</v>
      </c>
      <c r="E91" s="14">
        <v>4.6900000000000004</v>
      </c>
      <c r="F91" s="14">
        <v>10.63</v>
      </c>
      <c r="H91" s="1" t="s">
        <v>32</v>
      </c>
      <c r="I91" s="38">
        <f>CORREL(C88:C107,F88:F107)</f>
        <v>0.90932408080812743</v>
      </c>
      <c r="J91" s="38">
        <f>CORREL(D88:D107,F88:F107)</f>
        <v>0.85094493100096813</v>
      </c>
      <c r="K91" s="38">
        <f>CORREL(E88:E107,F88:F107)</f>
        <v>0.75493336682351353</v>
      </c>
      <c r="L91" s="38">
        <v>1</v>
      </c>
    </row>
    <row r="92" spans="1:12">
      <c r="A92">
        <v>5</v>
      </c>
      <c r="B92" s="5" t="s">
        <v>417</v>
      </c>
      <c r="C92" s="14">
        <f>21.16+(21.16/2)</f>
        <v>31.740000000000002</v>
      </c>
      <c r="D92" s="14">
        <v>9.33</v>
      </c>
      <c r="E92" s="14">
        <v>12.11</v>
      </c>
      <c r="F92" s="14">
        <v>13.99</v>
      </c>
      <c r="H92" s="14"/>
      <c r="I92" s="14"/>
      <c r="J92" s="14"/>
      <c r="K92" s="14"/>
      <c r="L92" s="14"/>
    </row>
    <row r="93" spans="1:12">
      <c r="A93">
        <v>6</v>
      </c>
      <c r="B93" s="5" t="s">
        <v>179</v>
      </c>
      <c r="C93" s="14">
        <v>36.81</v>
      </c>
      <c r="D93" s="14">
        <v>11.35</v>
      </c>
      <c r="E93" s="14">
        <v>10.1</v>
      </c>
      <c r="F93" s="14">
        <v>17.440000000000001</v>
      </c>
      <c r="H93" s="14"/>
      <c r="I93" t="s">
        <v>306</v>
      </c>
      <c r="J93" s="14"/>
      <c r="K93" s="14"/>
      <c r="L93" s="14"/>
    </row>
    <row r="94" spans="1:12">
      <c r="A94">
        <v>7</v>
      </c>
      <c r="B94" s="5" t="s">
        <v>400</v>
      </c>
      <c r="C94" s="14">
        <f>16.75+(16.75/2)</f>
        <v>25.125</v>
      </c>
      <c r="D94" s="14">
        <v>6.39</v>
      </c>
      <c r="E94" s="14">
        <v>6.81</v>
      </c>
      <c r="F94" s="14">
        <v>12.49</v>
      </c>
      <c r="H94" s="14"/>
      <c r="I94"/>
      <c r="J94" s="14"/>
      <c r="K94" s="14"/>
      <c r="L94" s="14"/>
    </row>
    <row r="95" spans="1:12">
      <c r="A95">
        <v>8</v>
      </c>
      <c r="B95" s="5" t="s">
        <v>14</v>
      </c>
      <c r="C95" s="14">
        <v>32.93</v>
      </c>
      <c r="D95" s="14">
        <v>8.4600000000000009</v>
      </c>
      <c r="E95" s="14">
        <v>6.08</v>
      </c>
      <c r="F95" s="14">
        <v>13.23</v>
      </c>
      <c r="H95" s="14"/>
      <c r="I95" t="s">
        <v>307</v>
      </c>
      <c r="J95" s="14"/>
      <c r="K95" s="14"/>
      <c r="L95" s="14"/>
    </row>
    <row r="96" spans="1:12">
      <c r="A96">
        <v>9</v>
      </c>
      <c r="B96" s="5" t="s">
        <v>15</v>
      </c>
      <c r="C96" s="14">
        <v>21.81</v>
      </c>
      <c r="D96" s="14">
        <v>6.92</v>
      </c>
      <c r="E96" s="14">
        <v>9.01</v>
      </c>
      <c r="F96" s="14">
        <v>10.62</v>
      </c>
      <c r="H96" s="14"/>
      <c r="I96" s="14"/>
      <c r="J96" s="14"/>
      <c r="K96" s="14"/>
      <c r="L96" s="14"/>
    </row>
    <row r="97" spans="1:12">
      <c r="A97">
        <v>10</v>
      </c>
      <c r="B97" s="5" t="s">
        <v>16</v>
      </c>
      <c r="C97" s="14">
        <v>13.88</v>
      </c>
      <c r="D97" s="14">
        <v>5.03</v>
      </c>
      <c r="E97" s="14">
        <v>4.34</v>
      </c>
      <c r="F97" s="14">
        <v>6.46</v>
      </c>
      <c r="H97" s="14"/>
      <c r="I97" s="7" t="s">
        <v>439</v>
      </c>
      <c r="J97" s="14"/>
      <c r="K97" s="14"/>
      <c r="L97" s="14"/>
    </row>
    <row r="98" spans="1:12">
      <c r="A98">
        <v>11</v>
      </c>
      <c r="B98" s="5" t="s">
        <v>17</v>
      </c>
      <c r="C98" s="14">
        <v>21.43</v>
      </c>
      <c r="D98" s="14">
        <v>7.03</v>
      </c>
      <c r="E98" s="14">
        <v>6.79</v>
      </c>
      <c r="F98" s="14">
        <v>10.79</v>
      </c>
      <c r="H98" s="14"/>
      <c r="I98" s="15">
        <f>J89</f>
        <v>1</v>
      </c>
      <c r="J98" s="15">
        <f>K89</f>
        <v>0.90918237966209525</v>
      </c>
      <c r="K98" s="15">
        <f>L89</f>
        <v>0.85094493100096813</v>
      </c>
      <c r="L98" s="14"/>
    </row>
    <row r="99" spans="1:12">
      <c r="A99">
        <v>12</v>
      </c>
      <c r="B99" s="5" t="s">
        <v>272</v>
      </c>
      <c r="C99" s="14">
        <f>15.13+(15.13*0.8)</f>
        <v>27.234000000000002</v>
      </c>
      <c r="D99" s="14">
        <v>5.3</v>
      </c>
      <c r="E99" s="14">
        <v>8.19</v>
      </c>
      <c r="F99" s="14">
        <v>11.03</v>
      </c>
      <c r="H99" s="14"/>
      <c r="I99" s="15">
        <f t="shared" ref="I99:K100" si="2">J90</f>
        <v>0.90918237966209525</v>
      </c>
      <c r="J99" s="15">
        <f t="shared" si="2"/>
        <v>1</v>
      </c>
      <c r="K99" s="15">
        <f t="shared" si="2"/>
        <v>0.75493336682351353</v>
      </c>
      <c r="L99" s="14"/>
    </row>
    <row r="100" spans="1:12">
      <c r="A100">
        <v>13</v>
      </c>
      <c r="B100" s="5" t="s">
        <v>9</v>
      </c>
      <c r="C100" s="14">
        <v>38.15</v>
      </c>
      <c r="D100" s="14">
        <v>9.4</v>
      </c>
      <c r="E100" s="14">
        <v>8.7100000000000009</v>
      </c>
      <c r="F100" s="14">
        <v>18.11</v>
      </c>
      <c r="H100" s="14"/>
      <c r="I100" s="15">
        <f t="shared" si="2"/>
        <v>0.85094493100096813</v>
      </c>
      <c r="J100" s="15">
        <f t="shared" si="2"/>
        <v>0.75493336682351353</v>
      </c>
      <c r="K100" s="15">
        <f t="shared" si="2"/>
        <v>1</v>
      </c>
      <c r="L100" s="14"/>
    </row>
    <row r="101" spans="1:12">
      <c r="A101">
        <v>14</v>
      </c>
      <c r="B101" s="5" t="s">
        <v>181</v>
      </c>
      <c r="C101" s="14">
        <v>40.11</v>
      </c>
      <c r="D101" s="14">
        <v>14.98</v>
      </c>
      <c r="E101" s="14">
        <v>12.98</v>
      </c>
      <c r="F101" s="14">
        <v>14.12</v>
      </c>
      <c r="H101" s="14"/>
      <c r="I101" s="14"/>
      <c r="J101" s="14"/>
      <c r="K101" s="14"/>
      <c r="L101" s="14"/>
    </row>
    <row r="102" spans="1:12">
      <c r="A102">
        <v>15</v>
      </c>
      <c r="B102" s="5" t="s">
        <v>182</v>
      </c>
      <c r="C102" s="14">
        <v>62.17</v>
      </c>
      <c r="D102" s="14">
        <v>12.25</v>
      </c>
      <c r="E102" s="14">
        <v>8.7100000000000009</v>
      </c>
      <c r="F102" s="14">
        <v>24.25</v>
      </c>
      <c r="H102" s="14"/>
      <c r="I102" s="7" t="s">
        <v>440</v>
      </c>
      <c r="J102" s="14"/>
      <c r="K102" s="14"/>
      <c r="L102" s="14"/>
    </row>
    <row r="103" spans="1:12">
      <c r="A103">
        <v>16</v>
      </c>
      <c r="B103" s="5" t="s">
        <v>156</v>
      </c>
      <c r="C103" s="14">
        <v>55.94</v>
      </c>
      <c r="D103" s="14">
        <v>19</v>
      </c>
      <c r="E103" s="14">
        <v>13.1</v>
      </c>
      <c r="F103" s="14">
        <v>23.15</v>
      </c>
      <c r="H103" s="14"/>
      <c r="I103" s="15">
        <f>I89</f>
        <v>0.89543107849602177</v>
      </c>
      <c r="J103" s="14"/>
      <c r="K103" s="14"/>
      <c r="L103" s="14"/>
    </row>
    <row r="104" spans="1:12">
      <c r="A104">
        <v>17</v>
      </c>
      <c r="B104" s="5" t="s">
        <v>157</v>
      </c>
      <c r="C104" s="14">
        <v>23.31</v>
      </c>
      <c r="D104" s="14">
        <v>3.84</v>
      </c>
      <c r="E104" s="14">
        <v>4.5999999999999996</v>
      </c>
      <c r="F104" s="14">
        <v>5.27</v>
      </c>
      <c r="H104" s="14"/>
      <c r="I104" s="15">
        <f>I90</f>
        <v>0.85948121238963882</v>
      </c>
      <c r="J104" s="14"/>
      <c r="K104" s="14"/>
      <c r="L104" s="14"/>
    </row>
    <row r="105" spans="1:12">
      <c r="A105">
        <v>18</v>
      </c>
      <c r="B105" s="5" t="s">
        <v>10</v>
      </c>
      <c r="C105" s="14">
        <v>46.12</v>
      </c>
      <c r="D105" s="14">
        <v>8.15</v>
      </c>
      <c r="E105" s="14">
        <v>11.42</v>
      </c>
      <c r="F105" s="14">
        <v>16.059999999999999</v>
      </c>
      <c r="H105" s="14"/>
      <c r="I105" s="15">
        <f>I91</f>
        <v>0.90932408080812743</v>
      </c>
      <c r="J105" s="14"/>
      <c r="K105" s="14"/>
      <c r="L105" s="14"/>
    </row>
    <row r="106" spans="1:12">
      <c r="A106">
        <v>19</v>
      </c>
      <c r="B106" s="5" t="s">
        <v>158</v>
      </c>
      <c r="C106" s="14">
        <v>89.43</v>
      </c>
      <c r="D106" s="14">
        <v>23.18</v>
      </c>
      <c r="E106" s="14">
        <v>21.52</v>
      </c>
      <c r="F106" s="14">
        <v>24.18</v>
      </c>
      <c r="H106" s="14"/>
      <c r="I106" s="14"/>
      <c r="J106" s="14"/>
      <c r="K106" s="14"/>
      <c r="L106" s="14"/>
    </row>
    <row r="107" spans="1:12">
      <c r="A107">
        <v>20</v>
      </c>
      <c r="B107" s="5" t="s">
        <v>11</v>
      </c>
      <c r="C107" s="14">
        <v>47.89</v>
      </c>
      <c r="D107" s="14">
        <v>13.56</v>
      </c>
      <c r="E107" s="14">
        <v>11.78</v>
      </c>
      <c r="F107" s="14">
        <v>17.809999999999999</v>
      </c>
      <c r="H107" s="14"/>
      <c r="I107" s="7" t="s">
        <v>441</v>
      </c>
      <c r="J107" s="14"/>
      <c r="K107" s="14"/>
      <c r="L107" s="14"/>
    </row>
    <row r="108" spans="1:12">
      <c r="I108" s="15">
        <f t="array" ref="I108:K110">MINVERSE(I98:K100)</f>
        <v>9.0569918795895585</v>
      </c>
      <c r="J108" s="15">
        <v>-5.6180469246987101</v>
      </c>
      <c r="K108" s="15">
        <v>-3.4657502502183819</v>
      </c>
    </row>
    <row r="109" spans="1:12">
      <c r="B109" s="6" t="s">
        <v>185</v>
      </c>
      <c r="C109" s="3">
        <f>SUM(C88:C107)</f>
        <v>724.37900000000002</v>
      </c>
      <c r="D109" s="3">
        <f>SUM(D88:D107)</f>
        <v>187.45000000000005</v>
      </c>
      <c r="E109" s="3">
        <f>SUM(E88:E107)</f>
        <v>179.51</v>
      </c>
      <c r="F109" s="35">
        <f>SUM(F88:F107)</f>
        <v>285.93</v>
      </c>
      <c r="H109" s="14"/>
      <c r="I109" s="15">
        <v>-5.6180469246987101</v>
      </c>
      <c r="J109" s="15">
        <v>5.8100438547032498</v>
      </c>
      <c r="K109" s="15">
        <v>0.39445258407455575</v>
      </c>
      <c r="L109" s="38"/>
    </row>
    <row r="110" spans="1:12">
      <c r="B110" t="s">
        <v>178</v>
      </c>
      <c r="C110" s="3">
        <f>AVERAGE(C88:C107)</f>
        <v>36.21895</v>
      </c>
      <c r="D110" s="3">
        <f>AVERAGE(D88:D107)</f>
        <v>9.3725000000000023</v>
      </c>
      <c r="E110" s="3">
        <f>AVERAGE(E88:E107)</f>
        <v>8.9755000000000003</v>
      </c>
      <c r="F110" s="35">
        <f>AVERAGE(F88:F107)</f>
        <v>14.2965</v>
      </c>
      <c r="I110" s="15">
        <v>-3.4657502502183823</v>
      </c>
      <c r="J110" s="15">
        <v>0.39445258407455575</v>
      </c>
      <c r="K110" s="15">
        <v>3.6513771901910297</v>
      </c>
      <c r="L110" s="38"/>
    </row>
    <row r="111" spans="1:12">
      <c r="B111" s="31" t="s">
        <v>184</v>
      </c>
      <c r="C111" s="13">
        <f>STDEV(C88:C107)</f>
        <v>18.625094558502457</v>
      </c>
      <c r="D111" s="13">
        <f>STDEV(D88:D107)</f>
        <v>5.2280829484419442</v>
      </c>
      <c r="E111" s="13">
        <f>STDEV(E88:E107)</f>
        <v>4.2738870204016752</v>
      </c>
      <c r="F111" s="13">
        <f>STDEV(F88:F107)</f>
        <v>5.5588537960910438</v>
      </c>
      <c r="J111" s="37"/>
    </row>
    <row r="112" spans="1:12">
      <c r="I112" s="42" t="s">
        <v>450</v>
      </c>
      <c r="J112" s="37"/>
    </row>
    <row r="113" spans="1:12">
      <c r="I113" s="15">
        <f t="array" ref="I113:I115">MMULT(I108:K110,I103:I105)</f>
        <v>0.12981606397829193</v>
      </c>
      <c r="J113" s="37"/>
    </row>
    <row r="114" spans="1:12">
      <c r="I114" s="15">
        <v>0.32173495288908116</v>
      </c>
    </row>
    <row r="115" spans="1:12">
      <c r="I115" s="15">
        <v>0.55596930799394251</v>
      </c>
      <c r="K115" s="32"/>
      <c r="L115" s="39"/>
    </row>
    <row r="116" spans="1:12">
      <c r="C116" s="1" t="s">
        <v>20</v>
      </c>
      <c r="D116" s="1" t="s">
        <v>141</v>
      </c>
      <c r="E116" s="1"/>
      <c r="F116" s="1"/>
      <c r="H116" s="1"/>
      <c r="L116" s="39"/>
    </row>
    <row r="117" spans="1:12">
      <c r="B117" s="30" t="s">
        <v>444</v>
      </c>
      <c r="C117" s="29" t="s">
        <v>173</v>
      </c>
      <c r="D117" s="29" t="s">
        <v>173</v>
      </c>
      <c r="E117" s="29" t="s">
        <v>362</v>
      </c>
      <c r="F117" s="29"/>
      <c r="H117" s="38"/>
      <c r="I117" s="38"/>
      <c r="J117" s="38"/>
      <c r="K117" s="38"/>
      <c r="L117" s="39"/>
    </row>
    <row r="118" spans="1:12">
      <c r="A118">
        <v>1</v>
      </c>
      <c r="B118" s="5" t="s">
        <v>413</v>
      </c>
      <c r="C118" s="14">
        <v>23.14</v>
      </c>
      <c r="D118" s="14">
        <f>(-7.331)+(D88*0.462)+(E88*1.402)+(F88*1.863)</f>
        <v>19.282080000000001</v>
      </c>
      <c r="E118" s="14">
        <f>C118-D118</f>
        <v>3.85792</v>
      </c>
      <c r="F118" s="14"/>
      <c r="H118" s="38"/>
      <c r="I118" t="s">
        <v>446</v>
      </c>
      <c r="J118" s="38"/>
      <c r="K118" s="38"/>
      <c r="L118" s="39"/>
    </row>
    <row r="119" spans="1:12">
      <c r="A119">
        <v>2</v>
      </c>
      <c r="B119" s="5" t="s">
        <v>414</v>
      </c>
      <c r="C119" s="14">
        <v>14.32</v>
      </c>
      <c r="D119" s="14">
        <f t="shared" ref="D119:D137" si="3">(-7.331)+(D89*0.462)+(E89*1.402)+(F89*1.863)</f>
        <v>14.25169</v>
      </c>
      <c r="E119" s="14">
        <f t="shared" ref="E119:E137" si="4">C119-D119</f>
        <v>6.8310000000000315E-2</v>
      </c>
      <c r="F119" s="14"/>
      <c r="H119" s="38"/>
      <c r="I119" s="2" t="s">
        <v>308</v>
      </c>
      <c r="J119" s="15">
        <f>I113</f>
        <v>0.12981606397829193</v>
      </c>
      <c r="K119" s="38"/>
      <c r="L119" s="39"/>
    </row>
    <row r="120" spans="1:12">
      <c r="A120">
        <v>3</v>
      </c>
      <c r="B120" s="5" t="s">
        <v>415</v>
      </c>
      <c r="C120" s="14">
        <v>51.69</v>
      </c>
      <c r="D120" s="14">
        <f t="shared" si="3"/>
        <v>46.626829999999998</v>
      </c>
      <c r="E120" s="14">
        <f t="shared" si="4"/>
        <v>5.0631699999999995</v>
      </c>
      <c r="F120" s="14"/>
      <c r="H120" s="38"/>
      <c r="I120" s="2" t="s">
        <v>316</v>
      </c>
      <c r="J120" s="15">
        <f>I114</f>
        <v>0.32173495288908116</v>
      </c>
      <c r="K120" s="38"/>
      <c r="L120" s="39"/>
    </row>
    <row r="121" spans="1:12">
      <c r="A121">
        <v>4</v>
      </c>
      <c r="B121" s="5" t="s">
        <v>416</v>
      </c>
      <c r="C121" s="14">
        <v>21.15</v>
      </c>
      <c r="D121" s="14">
        <f t="shared" si="3"/>
        <v>21.311869999999999</v>
      </c>
      <c r="E121" s="14">
        <f t="shared" si="4"/>
        <v>-0.1618700000000004</v>
      </c>
      <c r="F121" s="14"/>
      <c r="I121" s="2" t="s">
        <v>320</v>
      </c>
      <c r="J121" s="15">
        <f>I115</f>
        <v>0.55596930799394251</v>
      </c>
      <c r="K121" s="32"/>
      <c r="L121" s="39"/>
    </row>
    <row r="122" spans="1:12">
      <c r="A122">
        <v>5</v>
      </c>
      <c r="B122" s="5" t="s">
        <v>417</v>
      </c>
      <c r="C122" s="14">
        <f>21.16+(21.16/2)</f>
        <v>31.740000000000002</v>
      </c>
      <c r="D122" s="14">
        <f t="shared" si="3"/>
        <v>40.021049999999995</v>
      </c>
      <c r="E122" s="14">
        <f t="shared" si="4"/>
        <v>-8.2810499999999934</v>
      </c>
      <c r="F122" s="14"/>
      <c r="J122" s="2"/>
      <c r="K122" s="32"/>
      <c r="L122" s="39"/>
    </row>
    <row r="123" spans="1:12">
      <c r="A123">
        <v>6</v>
      </c>
      <c r="B123" s="5" t="s">
        <v>179</v>
      </c>
      <c r="C123" s="14">
        <v>36.81</v>
      </c>
      <c r="D123" s="14">
        <f t="shared" si="3"/>
        <v>44.56362</v>
      </c>
      <c r="E123" s="14">
        <f t="shared" si="4"/>
        <v>-7.753619999999998</v>
      </c>
      <c r="F123" s="14"/>
      <c r="I123" t="s">
        <v>7</v>
      </c>
      <c r="J123" s="2"/>
      <c r="L123" s="39"/>
    </row>
    <row r="124" spans="1:12">
      <c r="A124">
        <v>7</v>
      </c>
      <c r="B124" s="5" t="s">
        <v>400</v>
      </c>
      <c r="C124" s="14">
        <f>16.75+(16.75/2)</f>
        <v>25.125</v>
      </c>
      <c r="D124" s="14">
        <f t="shared" si="3"/>
        <v>28.437669999999997</v>
      </c>
      <c r="E124" s="14">
        <f t="shared" si="4"/>
        <v>-3.3126699999999971</v>
      </c>
      <c r="F124" s="14"/>
      <c r="I124" s="2" t="s">
        <v>317</v>
      </c>
      <c r="J124" s="15">
        <f>J119*(C111/D111)</f>
        <v>0.46247094597625837</v>
      </c>
      <c r="L124" s="39"/>
    </row>
    <row r="125" spans="1:12">
      <c r="A125">
        <v>8</v>
      </c>
      <c r="B125" s="5" t="s">
        <v>14</v>
      </c>
      <c r="C125" s="14">
        <v>32.93</v>
      </c>
      <c r="D125" s="14">
        <f t="shared" si="3"/>
        <v>29.749169999999999</v>
      </c>
      <c r="E125" s="14">
        <f t="shared" si="4"/>
        <v>3.1808300000000003</v>
      </c>
      <c r="F125" s="14"/>
      <c r="I125" s="2" t="s">
        <v>318</v>
      </c>
      <c r="J125" s="15">
        <f>J120*(C111/E111)</f>
        <v>1.4020829029241135</v>
      </c>
      <c r="L125" s="39"/>
    </row>
    <row r="126" spans="1:12">
      <c r="A126">
        <v>9</v>
      </c>
      <c r="B126" s="5" t="s">
        <v>15</v>
      </c>
      <c r="C126" s="14">
        <v>21.81</v>
      </c>
      <c r="D126" s="14">
        <f t="shared" si="3"/>
        <v>28.283119999999997</v>
      </c>
      <c r="E126" s="14">
        <f t="shared" si="4"/>
        <v>-6.473119999999998</v>
      </c>
      <c r="F126" s="14"/>
      <c r="I126" s="2" t="s">
        <v>368</v>
      </c>
      <c r="J126" s="15">
        <f>J121*(C111/F111)</f>
        <v>1.8627906602425708</v>
      </c>
      <c r="L126" s="39"/>
    </row>
    <row r="127" spans="1:12">
      <c r="A127">
        <v>10</v>
      </c>
      <c r="B127" s="5" t="s">
        <v>16</v>
      </c>
      <c r="C127" s="14">
        <v>13.88</v>
      </c>
      <c r="D127" s="14">
        <f t="shared" si="3"/>
        <v>13.11252</v>
      </c>
      <c r="E127" s="14">
        <f t="shared" si="4"/>
        <v>0.76748000000000083</v>
      </c>
      <c r="F127" s="14"/>
      <c r="J127" s="2"/>
      <c r="L127" s="39"/>
    </row>
    <row r="128" spans="1:12">
      <c r="A128">
        <v>11</v>
      </c>
      <c r="B128" s="5" t="s">
        <v>17</v>
      </c>
      <c r="C128" s="14">
        <v>21.43</v>
      </c>
      <c r="D128" s="14">
        <f t="shared" si="3"/>
        <v>25.538209999999999</v>
      </c>
      <c r="E128" s="14">
        <f t="shared" si="4"/>
        <v>-4.1082099999999997</v>
      </c>
      <c r="F128" s="14"/>
      <c r="I128" t="s">
        <v>140</v>
      </c>
      <c r="J128" s="2"/>
      <c r="L128" s="39"/>
    </row>
    <row r="129" spans="1:12">
      <c r="A129">
        <v>12</v>
      </c>
      <c r="B129" s="5" t="s">
        <v>272</v>
      </c>
      <c r="C129" s="14">
        <f>15.13+(15.13*0.8)</f>
        <v>27.234000000000002</v>
      </c>
      <c r="D129" s="14">
        <f t="shared" si="3"/>
        <v>27.148869999999999</v>
      </c>
      <c r="E129" s="14">
        <f t="shared" si="4"/>
        <v>8.5130000000003037E-2</v>
      </c>
      <c r="F129" s="14"/>
      <c r="H129" s="36"/>
      <c r="I129" s="2" t="s">
        <v>319</v>
      </c>
      <c r="J129" s="15">
        <f>C110-(D110*J124)-(E110*J125)-(F110*J126)</f>
        <v>-7.3313407105157786</v>
      </c>
      <c r="L129" s="39"/>
    </row>
    <row r="130" spans="1:12">
      <c r="A130">
        <v>13</v>
      </c>
      <c r="B130" s="5" t="s">
        <v>9</v>
      </c>
      <c r="C130" s="14">
        <v>38.15</v>
      </c>
      <c r="D130" s="14">
        <f t="shared" si="3"/>
        <v>42.962149999999994</v>
      </c>
      <c r="E130" s="14">
        <f t="shared" si="4"/>
        <v>-4.8121499999999955</v>
      </c>
      <c r="F130" s="14"/>
      <c r="H130" s="36"/>
      <c r="I130"/>
      <c r="J130" s="2"/>
      <c r="K130" s="32"/>
      <c r="L130" s="39"/>
    </row>
    <row r="131" spans="1:12">
      <c r="A131">
        <v>14</v>
      </c>
      <c r="B131" s="5" t="s">
        <v>181</v>
      </c>
      <c r="C131" s="14">
        <v>40.11</v>
      </c>
      <c r="D131" s="14">
        <f t="shared" si="3"/>
        <v>44.09328</v>
      </c>
      <c r="E131" s="14">
        <f t="shared" si="4"/>
        <v>-3.9832800000000006</v>
      </c>
      <c r="F131" s="14"/>
      <c r="H131" s="36"/>
      <c r="I131" s="2" t="s">
        <v>447</v>
      </c>
      <c r="J131" s="15">
        <f>(I103*J119)+(I104*J120)+(I105*J121)</f>
        <v>0.8983227655005438</v>
      </c>
      <c r="K131" s="32"/>
      <c r="L131" s="39"/>
    </row>
    <row r="132" spans="1:12">
      <c r="A132">
        <v>15</v>
      </c>
      <c r="B132" s="5" t="s">
        <v>182</v>
      </c>
      <c r="C132" s="14">
        <v>62.17</v>
      </c>
      <c r="D132" s="14">
        <f t="shared" si="3"/>
        <v>55.717670000000005</v>
      </c>
      <c r="E132" s="14">
        <f t="shared" si="4"/>
        <v>6.4523299999999963</v>
      </c>
      <c r="F132" s="14"/>
      <c r="I132"/>
      <c r="K132" s="32"/>
      <c r="L132" s="39"/>
    </row>
    <row r="133" spans="1:12">
      <c r="A133">
        <v>16</v>
      </c>
      <c r="B133" s="5" t="s">
        <v>156</v>
      </c>
      <c r="C133" s="14">
        <v>55.94</v>
      </c>
      <c r="D133" s="14">
        <f t="shared" si="3"/>
        <v>62.941649999999996</v>
      </c>
      <c r="E133" s="14">
        <f t="shared" si="4"/>
        <v>-7.0016499999999979</v>
      </c>
      <c r="F133" s="14"/>
      <c r="I133" t="s">
        <v>142</v>
      </c>
      <c r="J133" s="1" t="s">
        <v>262</v>
      </c>
      <c r="K133" s="32" t="s">
        <v>145</v>
      </c>
      <c r="L133" s="39" t="s">
        <v>261</v>
      </c>
    </row>
    <row r="134" spans="1:12">
      <c r="A134">
        <v>17</v>
      </c>
      <c r="B134" s="5" t="s">
        <v>157</v>
      </c>
      <c r="C134" s="14">
        <v>23.31</v>
      </c>
      <c r="D134" s="14">
        <f t="shared" si="3"/>
        <v>10.710289999999999</v>
      </c>
      <c r="E134" s="14">
        <f t="shared" si="4"/>
        <v>12.59971</v>
      </c>
      <c r="F134" s="14"/>
      <c r="I134" t="s">
        <v>143</v>
      </c>
      <c r="J134" s="15">
        <f>(SUMSQ(C88:C107))*J131</f>
        <v>29489.453050861772</v>
      </c>
      <c r="K134" s="47">
        <v>3</v>
      </c>
      <c r="L134" s="15">
        <f>J134/K134</f>
        <v>9829.8176836205912</v>
      </c>
    </row>
    <row r="135" spans="1:12">
      <c r="A135">
        <v>18</v>
      </c>
      <c r="B135" s="5" t="s">
        <v>10</v>
      </c>
      <c r="C135" s="14">
        <v>46.12</v>
      </c>
      <c r="D135" s="14">
        <f t="shared" si="3"/>
        <v>42.364919999999998</v>
      </c>
      <c r="E135" s="14">
        <f t="shared" si="4"/>
        <v>3.7550799999999995</v>
      </c>
      <c r="F135" s="14"/>
      <c r="H135" s="36"/>
      <c r="I135" t="s">
        <v>144</v>
      </c>
      <c r="J135" s="43">
        <f>(SUMSQ(C88:C107))*(1-J131)</f>
        <v>3337.7825301382295</v>
      </c>
      <c r="K135" s="1">
        <v>16</v>
      </c>
      <c r="L135" s="15">
        <f>J135/K135</f>
        <v>208.61140813363934</v>
      </c>
    </row>
    <row r="136" spans="1:12">
      <c r="A136">
        <v>19</v>
      </c>
      <c r="B136" s="5" t="s">
        <v>158</v>
      </c>
      <c r="C136" s="14">
        <v>89.43</v>
      </c>
      <c r="D136" s="14">
        <f t="shared" si="3"/>
        <v>78.596540000000005</v>
      </c>
      <c r="E136" s="14">
        <f t="shared" si="4"/>
        <v>10.833460000000002</v>
      </c>
      <c r="F136" s="14"/>
      <c r="H136" s="36"/>
      <c r="I136"/>
      <c r="J136" s="43"/>
      <c r="K136" s="2"/>
      <c r="L136" s="2"/>
    </row>
    <row r="137" spans="1:12">
      <c r="A137">
        <v>20</v>
      </c>
      <c r="B137" s="5" t="s">
        <v>11</v>
      </c>
      <c r="C137" s="14">
        <v>47.89</v>
      </c>
      <c r="D137" s="14">
        <f t="shared" si="3"/>
        <v>48.62930999999999</v>
      </c>
      <c r="E137" s="14">
        <f t="shared" si="4"/>
        <v>-0.73930999999998903</v>
      </c>
      <c r="F137" s="14"/>
      <c r="H137" s="36"/>
      <c r="I137" s="43" t="s">
        <v>361</v>
      </c>
      <c r="J137" s="43">
        <f>L134/L135</f>
        <v>47.120230727379372</v>
      </c>
      <c r="K137" s="2"/>
      <c r="L137" s="2"/>
    </row>
    <row r="138" spans="1:12">
      <c r="K138" s="2"/>
      <c r="L138" s="2"/>
    </row>
    <row r="139" spans="1:12">
      <c r="I139" s="2"/>
      <c r="J139" s="15"/>
    </row>
    <row r="140" spans="1:12">
      <c r="C140" s="7"/>
      <c r="E140" s="32"/>
      <c r="I140"/>
    </row>
    <row r="141" spans="1:12">
      <c r="C141" s="38"/>
      <c r="E141" s="38"/>
      <c r="H141" s="40"/>
      <c r="I141" s="40"/>
      <c r="J141" s="40"/>
    </row>
    <row r="142" spans="1:12">
      <c r="C142" s="38"/>
      <c r="E142" s="38"/>
      <c r="H142" s="40"/>
      <c r="I142" s="40"/>
      <c r="J142" s="40"/>
    </row>
    <row r="143" spans="1:12">
      <c r="C143" s="38"/>
      <c r="E143" s="38"/>
      <c r="H143" s="40"/>
      <c r="I143" s="40"/>
      <c r="J143" s="40"/>
    </row>
    <row r="145" spans="3:5">
      <c r="C145" s="1"/>
    </row>
    <row r="146" spans="3:5">
      <c r="C146" s="38"/>
    </row>
    <row r="147" spans="3:5">
      <c r="C147" s="38"/>
    </row>
    <row r="148" spans="3:5">
      <c r="C148" s="38"/>
    </row>
    <row r="151" spans="3:5">
      <c r="D151" s="36"/>
      <c r="E151" s="18"/>
    </row>
    <row r="152" spans="3:5">
      <c r="D152" s="36"/>
      <c r="E152" s="18"/>
    </row>
    <row r="153" spans="3:5">
      <c r="D153" s="36"/>
      <c r="E153" s="18"/>
    </row>
    <row r="154" spans="3:5">
      <c r="E154" s="18"/>
    </row>
    <row r="157" spans="3:5">
      <c r="D157" s="36"/>
    </row>
    <row r="158" spans="3:5">
      <c r="D158" s="36"/>
    </row>
    <row r="159" spans="3:5">
      <c r="D159" s="36"/>
    </row>
    <row r="160" spans="3:5">
      <c r="D160" s="36"/>
    </row>
    <row r="161" spans="3:4">
      <c r="D161" s="36"/>
    </row>
    <row r="163" spans="3:4">
      <c r="D163" s="18"/>
    </row>
    <row r="165" spans="3:4">
      <c r="D165" s="18"/>
    </row>
    <row r="170" spans="3:4">
      <c r="C170" s="32"/>
      <c r="D170" s="41"/>
    </row>
    <row r="171" spans="3:4">
      <c r="C171" s="32"/>
      <c r="D171" s="41"/>
    </row>
    <row r="172" spans="3:4">
      <c r="C172" s="32"/>
      <c r="D172" s="41"/>
    </row>
    <row r="173" spans="3:4">
      <c r="C173" s="32"/>
      <c r="D173" s="41"/>
    </row>
    <row r="174" spans="3:4">
      <c r="C174" s="32"/>
      <c r="D174" s="41"/>
    </row>
    <row r="175" spans="3:4">
      <c r="C175" s="32"/>
      <c r="D175" s="41"/>
    </row>
    <row r="176" spans="3:4">
      <c r="C176" s="32"/>
      <c r="D176" s="41"/>
    </row>
    <row r="177" spans="3:4">
      <c r="C177" s="32"/>
      <c r="D177" s="41"/>
    </row>
    <row r="178" spans="3:4">
      <c r="C178" s="32"/>
      <c r="D178" s="41"/>
    </row>
    <row r="179" spans="3:4">
      <c r="C179" s="32"/>
      <c r="D179" s="41"/>
    </row>
    <row r="180" spans="3:4">
      <c r="C180" s="32"/>
      <c r="D180" s="41"/>
    </row>
    <row r="181" spans="3:4">
      <c r="C181" s="32"/>
      <c r="D181" s="41"/>
    </row>
    <row r="182" spans="3:4">
      <c r="C182" s="32"/>
      <c r="D182" s="41"/>
    </row>
    <row r="183" spans="3:4">
      <c r="C183" s="32"/>
      <c r="D183" s="41"/>
    </row>
    <row r="184" spans="3:4">
      <c r="C184" s="32"/>
      <c r="D184" s="41"/>
    </row>
    <row r="185" spans="3:4">
      <c r="C185" s="32"/>
      <c r="D185" s="41"/>
    </row>
    <row r="186" spans="3:4">
      <c r="C186" s="32"/>
      <c r="D186" s="41"/>
    </row>
    <row r="187" spans="3:4">
      <c r="C187" s="32"/>
      <c r="D187" s="41"/>
    </row>
    <row r="188" spans="3:4">
      <c r="C188" s="32"/>
      <c r="D188" s="41"/>
    </row>
  </sheetData>
  <phoneticPr fontId="4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08"/>
  <sheetViews>
    <sheetView workbookViewId="0">
      <selection activeCell="A3" sqref="A3"/>
    </sheetView>
  </sheetViews>
  <sheetFormatPr defaultRowHeight="12.75"/>
  <cols>
    <col min="1" max="1" width="11" customWidth="1"/>
    <col min="2" max="2" width="19.875" customWidth="1"/>
    <col min="3" max="3" width="12.125" customWidth="1"/>
    <col min="4" max="5" width="11" customWidth="1"/>
    <col min="6" max="6" width="11.875" customWidth="1"/>
    <col min="7" max="7" width="12.375" customWidth="1"/>
    <col min="8" max="8" width="11.875" customWidth="1"/>
    <col min="9" max="9" width="10.25" customWidth="1"/>
    <col min="10" max="10" width="10.125" style="1" customWidth="1"/>
    <col min="11" max="11" width="10.125" customWidth="1"/>
    <col min="12" max="13" width="8.25" customWidth="1"/>
    <col min="14" max="256" width="11" customWidth="1"/>
  </cols>
  <sheetData>
    <row r="1" spans="1:10" ht="15">
      <c r="A1" s="57" t="s">
        <v>283</v>
      </c>
    </row>
    <row r="3" spans="1:10" ht="13.5" thickBot="1">
      <c r="B3" s="24" t="s">
        <v>363</v>
      </c>
      <c r="C3" s="10"/>
      <c r="D3" s="55" t="s">
        <v>392</v>
      </c>
      <c r="E3" s="56">
        <f>'Regression 1'!C33</f>
        <v>0.63548293863324412</v>
      </c>
      <c r="F3" s="55" t="s">
        <v>393</v>
      </c>
      <c r="G3" s="56">
        <f>'Regression 1'!D33</f>
        <v>2.5098043929833196</v>
      </c>
      <c r="H3" s="10"/>
      <c r="I3" s="10"/>
      <c r="J3" s="11"/>
    </row>
    <row r="4" spans="1:10" ht="13.5" thickTop="1">
      <c r="C4" s="1" t="s">
        <v>84</v>
      </c>
      <c r="D4" s="1" t="s">
        <v>84</v>
      </c>
      <c r="E4" s="1" t="s">
        <v>356</v>
      </c>
      <c r="F4" s="1" t="s">
        <v>362</v>
      </c>
      <c r="G4" s="1" t="s">
        <v>359</v>
      </c>
      <c r="H4" s="1" t="s">
        <v>359</v>
      </c>
      <c r="I4" s="1" t="s">
        <v>359</v>
      </c>
    </row>
    <row r="5" spans="1:10">
      <c r="B5" s="30" t="s">
        <v>229</v>
      </c>
      <c r="C5" s="28" t="s">
        <v>173</v>
      </c>
      <c r="D5" s="28" t="s">
        <v>174</v>
      </c>
      <c r="E5" s="28" t="s">
        <v>174</v>
      </c>
      <c r="F5" s="28" t="s">
        <v>174</v>
      </c>
      <c r="G5" s="29" t="s">
        <v>357</v>
      </c>
      <c r="H5" s="29" t="s">
        <v>344</v>
      </c>
      <c r="I5" s="27" t="s">
        <v>358</v>
      </c>
    </row>
    <row r="6" spans="1:10">
      <c r="A6">
        <v>1</v>
      </c>
      <c r="B6" s="5" t="s">
        <v>413</v>
      </c>
      <c r="C6" s="4">
        <v>5.0999999999999996</v>
      </c>
      <c r="D6" s="4">
        <v>3.46</v>
      </c>
      <c r="E6" s="4">
        <f>(E3*C6)+G3</f>
        <v>5.7507673800128645</v>
      </c>
      <c r="F6" s="4">
        <f>D6-E6</f>
        <v>-2.2907673800128645</v>
      </c>
      <c r="G6" s="14">
        <f t="shared" ref="G6:G23" si="0">(D6-9.66)^2</f>
        <v>38.440000000000005</v>
      </c>
      <c r="H6" s="14">
        <f t="shared" ref="H6:H23" si="1">(((0.64*C6)+2.51)-9.66)^2</f>
        <v>15.100996000000007</v>
      </c>
      <c r="I6" s="26">
        <f>G25-H25</f>
        <v>62.969910559999988</v>
      </c>
    </row>
    <row r="7" spans="1:10">
      <c r="A7">
        <v>2</v>
      </c>
      <c r="B7" s="5" t="s">
        <v>414</v>
      </c>
      <c r="C7" s="4">
        <v>4.5999999999999996</v>
      </c>
      <c r="D7" s="4">
        <v>6.53</v>
      </c>
      <c r="E7" s="4">
        <f>(E3*C7)+G3</f>
        <v>5.4330259106962426</v>
      </c>
      <c r="F7" s="4">
        <f t="shared" ref="F7:F14" si="2">D7-E7</f>
        <v>1.0969740893037576</v>
      </c>
      <c r="G7" s="14">
        <f t="shared" si="0"/>
        <v>9.7968999999999991</v>
      </c>
      <c r="H7" s="14">
        <f t="shared" si="1"/>
        <v>17.690436000000002</v>
      </c>
      <c r="I7" s="23"/>
    </row>
    <row r="8" spans="1:10">
      <c r="A8">
        <v>3</v>
      </c>
      <c r="B8" s="5" t="s">
        <v>415</v>
      </c>
      <c r="C8" s="4">
        <v>12.98</v>
      </c>
      <c r="D8" s="4">
        <v>14.15</v>
      </c>
      <c r="E8" s="4">
        <f>(E3*C8)+G3</f>
        <v>10.758372936442829</v>
      </c>
      <c r="F8" s="4">
        <f t="shared" si="2"/>
        <v>3.3916270635571717</v>
      </c>
      <c r="G8" s="14">
        <f t="shared" si="0"/>
        <v>20.160100000000003</v>
      </c>
      <c r="H8" s="14">
        <f t="shared" si="1"/>
        <v>1.3391118399999991</v>
      </c>
      <c r="I8" s="23"/>
    </row>
    <row r="9" spans="1:10">
      <c r="A9">
        <v>4</v>
      </c>
      <c r="B9" s="5" t="s">
        <v>416</v>
      </c>
      <c r="C9" s="4">
        <v>7.9</v>
      </c>
      <c r="D9" s="4">
        <v>5.32</v>
      </c>
      <c r="E9" s="4">
        <f>(E3*C9)+G3</f>
        <v>7.5301196081859487</v>
      </c>
      <c r="F9" s="4">
        <f t="shared" si="2"/>
        <v>-2.2101196081859484</v>
      </c>
      <c r="G9" s="14">
        <f t="shared" si="0"/>
        <v>18.835599999999999</v>
      </c>
      <c r="H9" s="14">
        <f t="shared" si="1"/>
        <v>4.3848360000000008</v>
      </c>
      <c r="I9" s="27" t="s">
        <v>360</v>
      </c>
    </row>
    <row r="10" spans="1:10">
      <c r="A10">
        <v>5</v>
      </c>
      <c r="B10" s="5" t="s">
        <v>417</v>
      </c>
      <c r="C10" s="4">
        <v>12.83</v>
      </c>
      <c r="D10" s="4">
        <v>12.96</v>
      </c>
      <c r="E10" s="4">
        <f>(E3*C10)+G3</f>
        <v>10.663050495647841</v>
      </c>
      <c r="F10" s="4">
        <f t="shared" si="2"/>
        <v>2.2969495043521597</v>
      </c>
      <c r="G10" s="14">
        <f t="shared" si="0"/>
        <v>10.890000000000004</v>
      </c>
      <c r="H10" s="14">
        <f t="shared" si="1"/>
        <v>1.1261454399999988</v>
      </c>
      <c r="I10" s="26">
        <f>H25/G25</f>
        <v>0.78053078181271307</v>
      </c>
    </row>
    <row r="11" spans="1:10">
      <c r="A11">
        <v>6</v>
      </c>
      <c r="B11" s="5" t="s">
        <v>179</v>
      </c>
      <c r="C11" s="4">
        <v>16.41</v>
      </c>
      <c r="D11" s="4">
        <v>13.08</v>
      </c>
      <c r="E11" s="4">
        <f>(E3*C11)+G3</f>
        <v>12.938079415954856</v>
      </c>
      <c r="F11" s="4">
        <f t="shared" si="2"/>
        <v>0.14192058404514363</v>
      </c>
      <c r="G11" s="14">
        <f t="shared" si="0"/>
        <v>11.696399999999999</v>
      </c>
      <c r="H11" s="14">
        <f t="shared" si="1"/>
        <v>11.238585759999996</v>
      </c>
      <c r="I11" s="23"/>
    </row>
    <row r="12" spans="1:10">
      <c r="A12">
        <v>7</v>
      </c>
      <c r="B12" s="5" t="s">
        <v>400</v>
      </c>
      <c r="C12" s="4">
        <v>6.6</v>
      </c>
      <c r="D12" s="4">
        <v>6.84</v>
      </c>
      <c r="E12" s="4">
        <f>(E3*C12)+G3</f>
        <v>6.7039917879627309</v>
      </c>
      <c r="F12" s="4">
        <f t="shared" si="2"/>
        <v>0.13600821203726898</v>
      </c>
      <c r="G12" s="14">
        <f t="shared" si="0"/>
        <v>7.9524000000000017</v>
      </c>
      <c r="H12" s="14">
        <f t="shared" si="1"/>
        <v>8.5614760000000008</v>
      </c>
      <c r="I12" s="23"/>
    </row>
    <row r="13" spans="1:10">
      <c r="A13">
        <v>8</v>
      </c>
      <c r="B13" s="5" t="s">
        <v>14</v>
      </c>
      <c r="C13" s="4">
        <v>10</v>
      </c>
      <c r="D13" s="4">
        <v>9.1199999999999992</v>
      </c>
      <c r="E13" s="4">
        <f>(E3*C13)+G3</f>
        <v>8.8646337793157599</v>
      </c>
      <c r="F13" s="4">
        <f t="shared" si="2"/>
        <v>0.25536622068423931</v>
      </c>
      <c r="G13" s="14">
        <f t="shared" si="0"/>
        <v>0.29160000000000103</v>
      </c>
      <c r="H13" s="14">
        <f t="shared" si="1"/>
        <v>0.5625</v>
      </c>
      <c r="I13" s="27" t="s">
        <v>86</v>
      </c>
    </row>
    <row r="14" spans="1:10">
      <c r="A14">
        <v>9</v>
      </c>
      <c r="B14" s="5" t="s">
        <v>376</v>
      </c>
      <c r="C14" s="4">
        <v>8.08</v>
      </c>
      <c r="D14" s="4">
        <v>10.77</v>
      </c>
      <c r="E14" s="4">
        <f>(E3*C14)+G3</f>
        <v>7.6445065371399323</v>
      </c>
      <c r="F14" s="4">
        <f t="shared" si="2"/>
        <v>3.1254934628600672</v>
      </c>
      <c r="G14" s="14">
        <f t="shared" si="0"/>
        <v>1.2320999999999986</v>
      </c>
      <c r="H14" s="14">
        <f t="shared" si="1"/>
        <v>3.9156494400000024</v>
      </c>
      <c r="I14" s="26">
        <f>SQRT(I10)</f>
        <v>0.88347653155741102</v>
      </c>
    </row>
    <row r="15" spans="1:10">
      <c r="A15">
        <v>10</v>
      </c>
      <c r="B15" s="5" t="s">
        <v>180</v>
      </c>
      <c r="C15" s="4">
        <v>15.67</v>
      </c>
      <c r="D15" s="4">
        <v>9.25</v>
      </c>
      <c r="E15" s="4">
        <f>(E3*C15)+G3</f>
        <v>12.467822041366254</v>
      </c>
      <c r="F15" s="4">
        <f t="shared" ref="F15:F23" si="3">D15-E15</f>
        <v>-3.2178220413662544</v>
      </c>
      <c r="G15" s="14">
        <f t="shared" si="0"/>
        <v>0.16810000000000011</v>
      </c>
      <c r="H15" s="14">
        <f t="shared" si="1"/>
        <v>8.2874894399999999</v>
      </c>
      <c r="I15" s="23"/>
    </row>
    <row r="16" spans="1:10">
      <c r="A16">
        <v>11</v>
      </c>
      <c r="B16" s="5" t="s">
        <v>16</v>
      </c>
      <c r="C16" s="4">
        <v>4.53</v>
      </c>
      <c r="D16" s="4">
        <v>4.1100000000000003</v>
      </c>
      <c r="E16" s="4">
        <f>(E3*C16)+G3</f>
        <v>5.3885421049919158</v>
      </c>
      <c r="F16" s="4">
        <f t="shared" si="3"/>
        <v>-1.2785421049919155</v>
      </c>
      <c r="G16" s="14">
        <f t="shared" si="0"/>
        <v>30.802499999999998</v>
      </c>
      <c r="H16" s="14">
        <f t="shared" si="1"/>
        <v>18.069300639999998</v>
      </c>
      <c r="I16" s="23"/>
    </row>
    <row r="17" spans="1:16">
      <c r="A17">
        <v>12</v>
      </c>
      <c r="B17" s="5" t="s">
        <v>377</v>
      </c>
      <c r="C17" s="4">
        <v>6.44</v>
      </c>
      <c r="D17" s="4">
        <v>6.94</v>
      </c>
      <c r="E17" s="4">
        <f>(E3*C17)+G3</f>
        <v>6.6023145177814122</v>
      </c>
      <c r="F17" s="4">
        <f t="shared" si="3"/>
        <v>0.33768548221858818</v>
      </c>
      <c r="G17" s="14">
        <f t="shared" si="0"/>
        <v>7.3983999999999988</v>
      </c>
      <c r="H17" s="14">
        <f t="shared" si="1"/>
        <v>9.1712065600000034</v>
      </c>
      <c r="I17" s="27" t="s">
        <v>361</v>
      </c>
    </row>
    <row r="18" spans="1:16">
      <c r="A18">
        <v>13</v>
      </c>
      <c r="B18" s="5" t="s">
        <v>181</v>
      </c>
      <c r="C18" s="4">
        <v>21.53</v>
      </c>
      <c r="D18" s="4">
        <v>14.64</v>
      </c>
      <c r="E18" s="4">
        <f>(E3*C18)+G3</f>
        <v>16.191752061757064</v>
      </c>
      <c r="F18" s="4">
        <f t="shared" si="3"/>
        <v>-1.5517520617570639</v>
      </c>
      <c r="G18" s="14">
        <f t="shared" si="0"/>
        <v>24.800400000000003</v>
      </c>
      <c r="H18" s="14">
        <f t="shared" si="1"/>
        <v>43.94629264000001</v>
      </c>
      <c r="I18" s="26">
        <f>(H25/1)/(I6/(A23-2))</f>
        <v>56.90316214798829</v>
      </c>
      <c r="J18" s="32"/>
    </row>
    <row r="19" spans="1:16">
      <c r="A19">
        <v>14</v>
      </c>
      <c r="B19" s="5" t="s">
        <v>182</v>
      </c>
      <c r="C19" s="4">
        <v>12.82</v>
      </c>
      <c r="D19" s="4">
        <v>9.36</v>
      </c>
      <c r="E19" s="4">
        <f>(E3*C19)+G3</f>
        <v>10.656695666261509</v>
      </c>
      <c r="F19" s="4">
        <f t="shared" si="3"/>
        <v>-1.2966956662615097</v>
      </c>
      <c r="G19" s="14">
        <f t="shared" si="0"/>
        <v>9.0000000000000427E-2</v>
      </c>
      <c r="H19" s="14">
        <f t="shared" si="1"/>
        <v>1.1126030400000004</v>
      </c>
      <c r="J19" s="23"/>
    </row>
    <row r="20" spans="1:16">
      <c r="A20">
        <v>15</v>
      </c>
      <c r="B20" s="5" t="s">
        <v>156</v>
      </c>
      <c r="C20" s="4">
        <v>22.27</v>
      </c>
      <c r="D20" s="4">
        <v>17.559999999999999</v>
      </c>
      <c r="E20" s="4">
        <f>(E3*C20)+G3</f>
        <v>16.662009436345667</v>
      </c>
      <c r="F20" s="4">
        <f t="shared" si="3"/>
        <v>0.89799056365433216</v>
      </c>
      <c r="G20" s="14">
        <f t="shared" si="0"/>
        <v>62.409999999999975</v>
      </c>
      <c r="H20" s="14">
        <f t="shared" si="1"/>
        <v>50.449767839999978</v>
      </c>
    </row>
    <row r="21" spans="1:16">
      <c r="A21">
        <v>16</v>
      </c>
      <c r="B21" s="5" t="s">
        <v>157</v>
      </c>
      <c r="C21" s="4">
        <v>4.93</v>
      </c>
      <c r="D21" s="4">
        <v>6.21</v>
      </c>
      <c r="E21" s="4">
        <f>(E3*C21)+G3</f>
        <v>5.6427352804452129</v>
      </c>
      <c r="F21" s="4">
        <f t="shared" si="3"/>
        <v>0.56726471955478708</v>
      </c>
      <c r="G21" s="14">
        <f t="shared" si="0"/>
        <v>11.902500000000002</v>
      </c>
      <c r="H21" s="14">
        <f t="shared" si="1"/>
        <v>15.958427040000005</v>
      </c>
    </row>
    <row r="22" spans="1:16">
      <c r="A22">
        <v>17</v>
      </c>
      <c r="B22" s="5" t="s">
        <v>158</v>
      </c>
      <c r="C22" s="4">
        <v>16.350000000000001</v>
      </c>
      <c r="D22" s="4">
        <v>15.02</v>
      </c>
      <c r="E22" s="4">
        <f>(E3*C22)+G3</f>
        <v>12.899950439636862</v>
      </c>
      <c r="F22" s="4">
        <f t="shared" si="3"/>
        <v>2.1200495603631371</v>
      </c>
      <c r="G22" s="14">
        <f t="shared" si="0"/>
        <v>28.729599999999994</v>
      </c>
      <c r="H22" s="14">
        <f t="shared" si="1"/>
        <v>10.982596000000001</v>
      </c>
    </row>
    <row r="23" spans="1:16">
      <c r="A23">
        <v>18</v>
      </c>
      <c r="B23" s="5" t="s">
        <v>183</v>
      </c>
      <c r="C23" s="4">
        <v>13.41</v>
      </c>
      <c r="D23" s="4">
        <v>8.51</v>
      </c>
      <c r="E23" s="4">
        <f>(E3*C23)+G3</f>
        <v>11.031630600055124</v>
      </c>
      <c r="F23" s="4">
        <f t="shared" si="3"/>
        <v>-2.5216306000551238</v>
      </c>
      <c r="G23" s="14">
        <f t="shared" si="0"/>
        <v>1.3225000000000009</v>
      </c>
      <c r="H23" s="14">
        <f t="shared" si="1"/>
        <v>2.0517697599999982</v>
      </c>
    </row>
    <row r="24" spans="1:16">
      <c r="C24" s="1"/>
      <c r="D24" s="1"/>
      <c r="E24" s="1"/>
      <c r="F24" s="1"/>
    </row>
    <row r="25" spans="1:16">
      <c r="B25" s="6" t="s">
        <v>185</v>
      </c>
      <c r="C25" s="3">
        <f>SUM(C6:C23)</f>
        <v>202.45</v>
      </c>
      <c r="D25" s="3">
        <f>SUM(D6:D23)</f>
        <v>173.83</v>
      </c>
      <c r="E25" s="3"/>
      <c r="F25" s="3"/>
      <c r="G25" s="3">
        <f>SUM(G6:G23)</f>
        <v>286.91909999999996</v>
      </c>
      <c r="H25" s="3">
        <f>SUM(H6:H23)</f>
        <v>223.94918943999997</v>
      </c>
    </row>
    <row r="26" spans="1:16">
      <c r="B26" t="s">
        <v>178</v>
      </c>
      <c r="C26" s="3">
        <f>AVERAGE(C6:C23)</f>
        <v>11.247222222222222</v>
      </c>
      <c r="D26" s="3">
        <f>AVERAGE(D6:D23)</f>
        <v>9.6572222222222237</v>
      </c>
      <c r="E26" s="3"/>
      <c r="F26" s="3"/>
    </row>
    <row r="27" spans="1:16">
      <c r="B27" s="12"/>
      <c r="C27" s="13"/>
      <c r="D27" s="13"/>
      <c r="E27" s="13"/>
      <c r="F27" s="13"/>
      <c r="G27" s="22"/>
      <c r="H27" s="22"/>
      <c r="I27" s="22"/>
      <c r="J27" s="25"/>
    </row>
    <row r="30" spans="1:16" ht="13.5" thickBot="1">
      <c r="B30" s="24" t="s">
        <v>83</v>
      </c>
      <c r="C30" s="10"/>
      <c r="D30" s="55" t="s">
        <v>392</v>
      </c>
      <c r="E30" s="56">
        <f>'Regression 1'!C36</f>
        <v>0.72447839838175765</v>
      </c>
      <c r="F30" s="55" t="s">
        <v>393</v>
      </c>
      <c r="G30" s="56">
        <f>'Regression 1'!D36</f>
        <v>1.5088526804229545</v>
      </c>
      <c r="H30" s="10"/>
      <c r="I30" s="10"/>
      <c r="J30" s="11"/>
      <c r="K30" s="10"/>
    </row>
    <row r="31" spans="1:16" ht="13.5" thickTop="1">
      <c r="C31" s="1" t="s">
        <v>84</v>
      </c>
      <c r="D31" s="1" t="s">
        <v>84</v>
      </c>
      <c r="G31" s="1" t="s">
        <v>356</v>
      </c>
      <c r="H31" s="1" t="s">
        <v>356</v>
      </c>
      <c r="I31" s="1" t="s">
        <v>359</v>
      </c>
      <c r="J31" s="1" t="s">
        <v>359</v>
      </c>
      <c r="K31" s="1" t="s">
        <v>359</v>
      </c>
      <c r="L31" s="1"/>
      <c r="M31" s="1"/>
      <c r="N31" s="1"/>
      <c r="P31" s="1"/>
    </row>
    <row r="32" spans="1:16">
      <c r="B32" s="30" t="s">
        <v>229</v>
      </c>
      <c r="C32" s="28" t="s">
        <v>173</v>
      </c>
      <c r="D32" s="28" t="s">
        <v>174</v>
      </c>
      <c r="E32" s="29" t="s">
        <v>175</v>
      </c>
      <c r="F32" s="29" t="s">
        <v>176</v>
      </c>
      <c r="G32" s="29" t="s">
        <v>173</v>
      </c>
      <c r="H32" s="29" t="s">
        <v>174</v>
      </c>
      <c r="I32" s="29" t="s">
        <v>357</v>
      </c>
      <c r="J32" s="28" t="s">
        <v>344</v>
      </c>
      <c r="K32" s="29" t="s">
        <v>358</v>
      </c>
      <c r="L32" s="28"/>
      <c r="M32" s="29"/>
      <c r="N32" s="29"/>
      <c r="P32" s="27"/>
    </row>
    <row r="33" spans="1:16">
      <c r="A33">
        <v>1</v>
      </c>
      <c r="B33" s="5" t="s">
        <v>413</v>
      </c>
      <c r="C33" s="3">
        <v>5.0999999999999996</v>
      </c>
      <c r="D33" s="3">
        <v>3.46</v>
      </c>
      <c r="E33" s="3">
        <f>(1/E$30)*(-1)</f>
        <v>-1.3803034048132634</v>
      </c>
      <c r="F33" s="3">
        <f>D33-(C33*(-1.39))</f>
        <v>10.548999999999999</v>
      </c>
      <c r="G33" s="3">
        <f>(F33-G$30)/((E$30)-(E$33))</f>
        <v>4.2950520124481608</v>
      </c>
      <c r="H33" s="3">
        <f>(G33*E$30)+G$30</f>
        <v>4.6205250833677436</v>
      </c>
      <c r="I33" s="3">
        <f>(((C33-C$53)^2)+(D33-D$53)^2)</f>
        <v>76.19390432098767</v>
      </c>
      <c r="J33" s="3">
        <f>(((G33-G$53)^2)+(H33-H$53)^2)</f>
        <v>74.803684661500313</v>
      </c>
      <c r="K33" s="32">
        <f>I52-J52</f>
        <v>38.854032613317599</v>
      </c>
      <c r="L33" s="4"/>
      <c r="M33" s="14"/>
      <c r="N33" s="14"/>
      <c r="P33" s="26"/>
    </row>
    <row r="34" spans="1:16">
      <c r="A34">
        <v>2</v>
      </c>
      <c r="B34" s="5" t="s">
        <v>414</v>
      </c>
      <c r="C34" s="3">
        <v>4.5999999999999996</v>
      </c>
      <c r="D34" s="3">
        <v>6.53</v>
      </c>
      <c r="E34" s="3">
        <f t="shared" ref="E34:E50" si="4">(1/E$30)*(-1)</f>
        <v>-1.3803034048132634</v>
      </c>
      <c r="F34" s="3">
        <f t="shared" ref="F34:F50" si="5">D34-(C34*(-1.39))</f>
        <v>12.923999999999999</v>
      </c>
      <c r="G34" s="3">
        <f>(F34-G$30)/((E$30)-(E$33))</f>
        <v>5.4234350098661324</v>
      </c>
      <c r="H34" s="3">
        <f t="shared" ref="H34:H50" si="6">(G34*E$30)+G$30</f>
        <v>5.4380141900983219</v>
      </c>
      <c r="I34" s="3">
        <f t="shared" ref="I34:I50" si="7">(((C34-C$53)^2)+(D34-D$53)^2)</f>
        <v>53.965082098765436</v>
      </c>
      <c r="J34" s="3">
        <f t="shared" ref="J34:J50" si="8">(((G34-G$53)^2)+(H34-H$53)^2)</f>
        <v>52.642599547448498</v>
      </c>
      <c r="K34" s="1"/>
      <c r="L34" s="4"/>
      <c r="M34" s="14"/>
      <c r="N34" s="14"/>
      <c r="P34" s="23"/>
    </row>
    <row r="35" spans="1:16">
      <c r="A35">
        <v>3</v>
      </c>
      <c r="B35" s="5" t="s">
        <v>415</v>
      </c>
      <c r="C35" s="3">
        <v>12.98</v>
      </c>
      <c r="D35" s="3">
        <v>14.15</v>
      </c>
      <c r="E35" s="3">
        <f t="shared" si="4"/>
        <v>-1.3803034048132634</v>
      </c>
      <c r="F35" s="3">
        <f t="shared" si="5"/>
        <v>32.1922</v>
      </c>
      <c r="G35" s="3">
        <f>(F35-G$30)/((E$30)-(E$33))</f>
        <v>14.577923123907794</v>
      </c>
      <c r="H35" s="3">
        <f t="shared" si="6"/>
        <v>12.070243076964063</v>
      </c>
      <c r="I35" s="3">
        <f t="shared" si="7"/>
        <v>23.187570987654315</v>
      </c>
      <c r="J35" s="3">
        <f t="shared" si="8"/>
        <v>16.394005183419665</v>
      </c>
      <c r="K35" s="1"/>
      <c r="L35" s="4"/>
      <c r="M35" s="14"/>
      <c r="N35" s="14"/>
      <c r="P35" s="23"/>
    </row>
    <row r="36" spans="1:16">
      <c r="A36">
        <v>4</v>
      </c>
      <c r="B36" s="5" t="s">
        <v>416</v>
      </c>
      <c r="C36" s="3">
        <v>7.9</v>
      </c>
      <c r="D36" s="3">
        <v>5.32</v>
      </c>
      <c r="E36" s="3">
        <f t="shared" si="4"/>
        <v>-1.3803034048132634</v>
      </c>
      <c r="F36" s="3">
        <f t="shared" si="5"/>
        <v>16.301000000000002</v>
      </c>
      <c r="G36" s="3">
        <f t="shared" ref="G36:G50" si="9">(F36-G$30)/((E$30)-(E$33))</f>
        <v>7.0278768550368653</v>
      </c>
      <c r="H36" s="3">
        <f t="shared" si="6"/>
        <v>6.6003976483842868</v>
      </c>
      <c r="I36" s="3">
        <f t="shared" si="7"/>
        <v>30.015393209876549</v>
      </c>
      <c r="J36" s="3">
        <f t="shared" si="8"/>
        <v>27.817898913129124</v>
      </c>
      <c r="K36" s="29" t="s">
        <v>360</v>
      </c>
      <c r="L36" s="4"/>
      <c r="M36" s="14"/>
      <c r="N36" s="14"/>
      <c r="P36" s="27"/>
    </row>
    <row r="37" spans="1:16">
      <c r="A37">
        <v>5</v>
      </c>
      <c r="B37" s="5" t="s">
        <v>417</v>
      </c>
      <c r="C37" s="3">
        <v>12.83</v>
      </c>
      <c r="D37" s="3">
        <v>12.96</v>
      </c>
      <c r="E37" s="3">
        <f t="shared" si="4"/>
        <v>-1.3803034048132634</v>
      </c>
      <c r="F37" s="3">
        <f t="shared" si="5"/>
        <v>30.793700000000001</v>
      </c>
      <c r="G37" s="3">
        <f t="shared" si="9"/>
        <v>13.913483704165046</v>
      </c>
      <c r="H37" s="3">
        <f t="shared" si="6"/>
        <v>11.588871070327132</v>
      </c>
      <c r="I37" s="3">
        <f t="shared" si="7"/>
        <v>13.413526543209873</v>
      </c>
      <c r="J37" s="3">
        <f t="shared" si="8"/>
        <v>10.422981235849544</v>
      </c>
      <c r="K37" s="32">
        <f>J52/I52</f>
        <v>0.95338827118960889</v>
      </c>
      <c r="L37" s="4"/>
      <c r="M37" s="14"/>
      <c r="N37" s="14"/>
      <c r="P37" s="26"/>
    </row>
    <row r="38" spans="1:16">
      <c r="A38">
        <v>6</v>
      </c>
      <c r="B38" s="5" t="s">
        <v>179</v>
      </c>
      <c r="C38" s="3">
        <v>16.41</v>
      </c>
      <c r="D38" s="3">
        <v>13.08</v>
      </c>
      <c r="E38" s="3">
        <f t="shared" si="4"/>
        <v>-1.3803034048132634</v>
      </c>
      <c r="F38" s="3">
        <f t="shared" si="5"/>
        <v>35.889899999999997</v>
      </c>
      <c r="G38" s="3">
        <f t="shared" si="9"/>
        <v>16.334732306877239</v>
      </c>
      <c r="H38" s="3">
        <f t="shared" si="6"/>
        <v>13.34301338010413</v>
      </c>
      <c r="I38" s="3">
        <f t="shared" si="7"/>
        <v>38.369682098765431</v>
      </c>
      <c r="J38" s="3">
        <f t="shared" si="8"/>
        <v>38.667966312707591</v>
      </c>
      <c r="K38" s="1"/>
      <c r="L38" s="4"/>
      <c r="M38" s="14"/>
      <c r="N38" s="14"/>
      <c r="P38" s="23"/>
    </row>
    <row r="39" spans="1:16">
      <c r="A39">
        <v>7</v>
      </c>
      <c r="B39" s="5" t="s">
        <v>400</v>
      </c>
      <c r="C39" s="3">
        <v>6.6</v>
      </c>
      <c r="D39" s="3">
        <v>6.84</v>
      </c>
      <c r="E39" s="3">
        <f t="shared" si="4"/>
        <v>-1.3803034048132634</v>
      </c>
      <c r="F39" s="3">
        <f t="shared" si="5"/>
        <v>16.013999999999999</v>
      </c>
      <c r="G39" s="3">
        <f t="shared" si="9"/>
        <v>6.8915206780857234</v>
      </c>
      <c r="H39" s="3">
        <f t="shared" si="6"/>
        <v>6.5016105436972635</v>
      </c>
      <c r="I39" s="3">
        <f t="shared" si="7"/>
        <v>29.533415432098774</v>
      </c>
      <c r="J39" s="3">
        <f t="shared" si="8"/>
        <v>29.62241551358456</v>
      </c>
      <c r="K39" s="1"/>
      <c r="L39" s="4"/>
      <c r="M39" s="14"/>
      <c r="N39" s="14"/>
      <c r="P39" s="23"/>
    </row>
    <row r="40" spans="1:16">
      <c r="A40">
        <v>8</v>
      </c>
      <c r="B40" s="5" t="s">
        <v>14</v>
      </c>
      <c r="C40" s="3">
        <v>10</v>
      </c>
      <c r="D40" s="3">
        <v>9.1199999999999992</v>
      </c>
      <c r="E40" s="3">
        <f t="shared" si="4"/>
        <v>-1.3803034048132634</v>
      </c>
      <c r="F40" s="3">
        <f t="shared" si="5"/>
        <v>23.019999999999996</v>
      </c>
      <c r="G40" s="3">
        <f t="shared" si="9"/>
        <v>10.220131743311114</v>
      </c>
      <c r="H40" s="3">
        <f t="shared" si="6"/>
        <v>8.9131173570675521</v>
      </c>
      <c r="I40" s="3">
        <f t="shared" si="7"/>
        <v>1.8441709876543224</v>
      </c>
      <c r="J40" s="3">
        <f t="shared" si="8"/>
        <v>1.7750046957881946</v>
      </c>
      <c r="K40" s="29" t="s">
        <v>86</v>
      </c>
      <c r="L40" s="4"/>
      <c r="M40" s="14"/>
      <c r="N40" s="14"/>
      <c r="P40" s="27"/>
    </row>
    <row r="41" spans="1:16">
      <c r="A41">
        <v>9</v>
      </c>
      <c r="B41" s="5" t="s">
        <v>376</v>
      </c>
      <c r="C41" s="3">
        <v>8.08</v>
      </c>
      <c r="D41" s="3">
        <v>10.77</v>
      </c>
      <c r="E41" s="3">
        <f t="shared" si="4"/>
        <v>-1.3803034048132634</v>
      </c>
      <c r="F41" s="3">
        <f t="shared" si="5"/>
        <v>22.001199999999997</v>
      </c>
      <c r="G41" s="3">
        <f t="shared" si="9"/>
        <v>9.7360910705660917</v>
      </c>
      <c r="H41" s="3">
        <f t="shared" si="6"/>
        <v>8.5624403457256086</v>
      </c>
      <c r="I41" s="3">
        <f t="shared" si="7"/>
        <v>11.269570987654312</v>
      </c>
      <c r="J41" s="3">
        <f t="shared" si="8"/>
        <v>3.724952010177542</v>
      </c>
      <c r="K41" s="32">
        <f>SQRT(K37)</f>
        <v>0.97641603386548748</v>
      </c>
      <c r="L41" s="4"/>
      <c r="M41" s="14"/>
      <c r="N41" s="14"/>
      <c r="P41" s="26"/>
    </row>
    <row r="42" spans="1:16">
      <c r="A42">
        <v>10</v>
      </c>
      <c r="B42" s="5" t="s">
        <v>180</v>
      </c>
      <c r="C42" s="3">
        <v>15.67</v>
      </c>
      <c r="D42" s="3">
        <v>9.25</v>
      </c>
      <c r="E42" s="3">
        <f t="shared" si="4"/>
        <v>-1.3803034048132634</v>
      </c>
      <c r="F42" s="3">
        <f t="shared" si="5"/>
        <v>31.031299999999998</v>
      </c>
      <c r="G42" s="3">
        <f t="shared" si="9"/>
        <v>14.02636951476989</v>
      </c>
      <c r="H42" s="3">
        <f t="shared" si="6"/>
        <v>11.670654401594156</v>
      </c>
      <c r="I42" s="3">
        <f t="shared" si="7"/>
        <v>19.726793209876547</v>
      </c>
      <c r="J42" s="3">
        <f t="shared" si="8"/>
        <v>11.342493946876715</v>
      </c>
      <c r="K42" s="1"/>
      <c r="L42" s="4"/>
      <c r="M42" s="14"/>
      <c r="N42" s="14"/>
      <c r="P42" s="23"/>
    </row>
    <row r="43" spans="1:16">
      <c r="A43">
        <v>11</v>
      </c>
      <c r="B43" s="5" t="s">
        <v>16</v>
      </c>
      <c r="C43" s="3">
        <v>4.53</v>
      </c>
      <c r="D43" s="3">
        <v>4.1100000000000003</v>
      </c>
      <c r="E43" s="3">
        <f t="shared" si="4"/>
        <v>-1.3803034048132634</v>
      </c>
      <c r="F43" s="3">
        <f t="shared" si="5"/>
        <v>10.406700000000001</v>
      </c>
      <c r="G43" s="3">
        <f t="shared" si="9"/>
        <v>4.2274440543291814</v>
      </c>
      <c r="H43" s="3">
        <f t="shared" si="6"/>
        <v>4.571544578151844</v>
      </c>
      <c r="I43" s="3">
        <f t="shared" si="7"/>
        <v>75.892748765432103</v>
      </c>
      <c r="J43" s="3">
        <f t="shared" si="8"/>
        <v>76.254782197482228</v>
      </c>
      <c r="K43" s="1"/>
      <c r="L43" s="4"/>
      <c r="M43" s="14"/>
      <c r="N43" s="14"/>
      <c r="P43" s="23"/>
    </row>
    <row r="44" spans="1:16">
      <c r="A44">
        <v>12</v>
      </c>
      <c r="B44" s="5" t="s">
        <v>377</v>
      </c>
      <c r="C44" s="3">
        <v>6.44</v>
      </c>
      <c r="D44" s="3">
        <v>6.94</v>
      </c>
      <c r="E44" s="3">
        <f t="shared" si="4"/>
        <v>-1.3803034048132634</v>
      </c>
      <c r="F44" s="3">
        <f t="shared" si="5"/>
        <v>15.8916</v>
      </c>
      <c r="G44" s="3">
        <f t="shared" si="9"/>
        <v>6.833367381713531</v>
      </c>
      <c r="H44" s="3">
        <f t="shared" si="6"/>
        <v>6.459479736680918</v>
      </c>
      <c r="I44" s="3">
        <f t="shared" si="7"/>
        <v>30.492682098765428</v>
      </c>
      <c r="J44" s="3">
        <f t="shared" si="8"/>
        <v>30.409255614742683</v>
      </c>
      <c r="K44" s="29" t="s">
        <v>85</v>
      </c>
      <c r="L44" s="4"/>
      <c r="M44" s="14"/>
      <c r="N44" s="14"/>
      <c r="P44" s="27"/>
    </row>
    <row r="45" spans="1:16">
      <c r="A45">
        <v>13</v>
      </c>
      <c r="B45" s="5" t="s">
        <v>181</v>
      </c>
      <c r="C45" s="3">
        <v>21.53</v>
      </c>
      <c r="D45" s="3">
        <v>14.64</v>
      </c>
      <c r="E45" s="3">
        <f t="shared" si="4"/>
        <v>-1.3803034048132634</v>
      </c>
      <c r="F45" s="3">
        <f t="shared" si="5"/>
        <v>44.566699999999997</v>
      </c>
      <c r="G45" s="3">
        <f t="shared" si="9"/>
        <v>20.457154871928292</v>
      </c>
      <c r="H45" s="3">
        <f>(G45*E$30)+G$30</f>
        <v>16.329619477485135</v>
      </c>
      <c r="I45" s="3">
        <f t="shared" si="7"/>
        <v>130.56359320987656</v>
      </c>
      <c r="J45" s="3">
        <f t="shared" si="8"/>
        <v>127.89245844233099</v>
      </c>
      <c r="K45" s="32">
        <f>(J52/1)/(K33/(A50-2))</f>
        <v>327.26124364718169</v>
      </c>
      <c r="L45" s="4"/>
      <c r="M45" s="14"/>
      <c r="N45" s="14"/>
      <c r="P45" s="26"/>
    </row>
    <row r="46" spans="1:16">
      <c r="A46">
        <v>14</v>
      </c>
      <c r="B46" s="5" t="s">
        <v>182</v>
      </c>
      <c r="C46" s="3">
        <v>12.82</v>
      </c>
      <c r="D46" s="3">
        <v>9.36</v>
      </c>
      <c r="E46" s="3">
        <f t="shared" si="4"/>
        <v>-1.3803034048132634</v>
      </c>
      <c r="F46" s="3">
        <f t="shared" si="5"/>
        <v>27.1798</v>
      </c>
      <c r="G46" s="3">
        <f t="shared" si="9"/>
        <v>12.196488624430811</v>
      </c>
      <c r="H46" s="3">
        <f t="shared" si="6"/>
        <v>10.344945224931916</v>
      </c>
      <c r="I46" s="3">
        <f t="shared" si="7"/>
        <v>2.5619709876543246</v>
      </c>
      <c r="J46" s="3">
        <f t="shared" si="8"/>
        <v>1.2281578146537384</v>
      </c>
      <c r="K46" s="1"/>
      <c r="L46" s="4"/>
      <c r="M46" s="14"/>
      <c r="N46" s="14"/>
      <c r="P46" s="23"/>
    </row>
    <row r="47" spans="1:16">
      <c r="A47">
        <v>15</v>
      </c>
      <c r="B47" s="5" t="s">
        <v>156</v>
      </c>
      <c r="C47" s="3">
        <v>22.27</v>
      </c>
      <c r="D47" s="3">
        <v>17.559999999999999</v>
      </c>
      <c r="E47" s="3">
        <f t="shared" si="4"/>
        <v>-1.3803034048132634</v>
      </c>
      <c r="F47" s="3">
        <f t="shared" si="5"/>
        <v>48.515299999999996</v>
      </c>
      <c r="G47" s="3">
        <f t="shared" si="9"/>
        <v>22.333168810288122</v>
      </c>
      <c r="H47" s="3">
        <f t="shared" si="6"/>
        <v>17.688751050889916</v>
      </c>
      <c r="I47" s="3">
        <f t="shared" si="7"/>
        <v>183.95552654320983</v>
      </c>
      <c r="J47" s="3">
        <f t="shared" si="8"/>
        <v>185.65592784858239</v>
      </c>
      <c r="K47" s="1"/>
      <c r="L47" s="4"/>
      <c r="M47" s="14"/>
      <c r="N47" s="14"/>
      <c r="P47" s="1"/>
    </row>
    <row r="48" spans="1:16">
      <c r="A48">
        <v>16</v>
      </c>
      <c r="B48" s="5" t="s">
        <v>157</v>
      </c>
      <c r="C48" s="3">
        <v>4.93</v>
      </c>
      <c r="D48" s="3">
        <v>6.21</v>
      </c>
      <c r="E48" s="3">
        <f t="shared" si="4"/>
        <v>-1.3803034048132634</v>
      </c>
      <c r="F48" s="3">
        <f t="shared" si="5"/>
        <v>13.0627</v>
      </c>
      <c r="G48" s="3">
        <f t="shared" si="9"/>
        <v>5.4893325769153414</v>
      </c>
      <c r="H48" s="3">
        <f t="shared" si="6"/>
        <v>5.4857555539313871</v>
      </c>
      <c r="I48" s="3">
        <f t="shared" si="7"/>
        <v>51.790637654320996</v>
      </c>
      <c r="J48" s="3">
        <f t="shared" si="8"/>
        <v>51.468399643055051</v>
      </c>
      <c r="K48" s="1"/>
      <c r="L48" s="4"/>
      <c r="M48" s="14"/>
      <c r="N48" s="14"/>
      <c r="P48" s="1"/>
    </row>
    <row r="49" spans="1:16">
      <c r="A49">
        <v>17</v>
      </c>
      <c r="B49" s="5" t="s">
        <v>158</v>
      </c>
      <c r="C49" s="3">
        <v>16.350000000000001</v>
      </c>
      <c r="D49" s="3">
        <v>15.02</v>
      </c>
      <c r="E49" s="3">
        <f t="shared" si="4"/>
        <v>-1.3803034048132634</v>
      </c>
      <c r="F49" s="3">
        <f t="shared" si="5"/>
        <v>37.746499999999997</v>
      </c>
      <c r="G49" s="3">
        <f t="shared" si="9"/>
        <v>17.216818990248271</v>
      </c>
      <c r="H49" s="3">
        <f t="shared" si="6"/>
        <v>13.982066127706652</v>
      </c>
      <c r="I49" s="3">
        <f t="shared" si="7"/>
        <v>54.797726543209876</v>
      </c>
      <c r="J49" s="3">
        <f t="shared" si="8"/>
        <v>53.401121491687277</v>
      </c>
      <c r="L49" s="4"/>
      <c r="M49" s="14"/>
      <c r="N49" s="14"/>
      <c r="P49" s="1"/>
    </row>
    <row r="50" spans="1:16">
      <c r="A50">
        <v>18</v>
      </c>
      <c r="B50" s="5" t="s">
        <v>183</v>
      </c>
      <c r="C50" s="3">
        <v>13.41</v>
      </c>
      <c r="D50" s="3">
        <v>8.51</v>
      </c>
      <c r="E50" s="3">
        <f t="shared" si="4"/>
        <v>-1.3803034048132634</v>
      </c>
      <c r="F50" s="3">
        <f t="shared" si="5"/>
        <v>27.149899999999995</v>
      </c>
      <c r="G50" s="3">
        <f t="shared" si="9"/>
        <v>12.182282876379105</v>
      </c>
      <c r="H50" s="3">
        <f t="shared" si="6"/>
        <v>10.334653467335601</v>
      </c>
      <c r="I50" s="3">
        <f t="shared" si="7"/>
        <v>5.993726543209883</v>
      </c>
      <c r="J50" s="3">
        <f t="shared" si="8"/>
        <v>1.189584535888474</v>
      </c>
      <c r="L50" s="4"/>
      <c r="M50" s="14"/>
      <c r="N50" s="14"/>
      <c r="P50" s="1"/>
    </row>
    <row r="51" spans="1:16">
      <c r="C51" s="2"/>
      <c r="D51" s="2"/>
      <c r="E51" s="2"/>
      <c r="F51" s="2"/>
      <c r="G51" s="2"/>
      <c r="H51" s="2"/>
      <c r="I51" s="3"/>
      <c r="J51" s="2"/>
      <c r="L51" s="1"/>
      <c r="P51" s="1"/>
    </row>
    <row r="52" spans="1:16">
      <c r="B52" s="6" t="s">
        <v>185</v>
      </c>
      <c r="C52" s="3">
        <f>SUM(C33:C50)</f>
        <v>202.45</v>
      </c>
      <c r="D52" s="3">
        <f>SUM(D33:D50)</f>
        <v>173.83</v>
      </c>
      <c r="E52" s="2"/>
      <c r="F52" s="2"/>
      <c r="G52" s="3">
        <f>SUM(G33:G50)</f>
        <v>203.38267420526668</v>
      </c>
      <c r="H52" s="3">
        <f>SUM(H33:H50)</f>
        <v>174.50570231444365</v>
      </c>
      <c r="I52" s="3">
        <f>SUM(I33:I50)</f>
        <v>833.56772222222219</v>
      </c>
      <c r="J52" s="3">
        <f>SUM(J33:J50)</f>
        <v>794.71368960890459</v>
      </c>
      <c r="L52" s="3"/>
      <c r="M52" s="3"/>
      <c r="N52" s="3"/>
      <c r="P52" s="1"/>
    </row>
    <row r="53" spans="1:16">
      <c r="B53" t="s">
        <v>178</v>
      </c>
      <c r="C53" s="3">
        <f>AVERAGE(C33:C50)</f>
        <v>11.247222222222222</v>
      </c>
      <c r="D53" s="3">
        <f>AVERAGE(D33:D50)</f>
        <v>9.6572222222222237</v>
      </c>
      <c r="E53" s="3"/>
      <c r="F53" s="3"/>
      <c r="G53" s="3">
        <f>AVERAGE(G33:G50)</f>
        <v>11.299037455848149</v>
      </c>
      <c r="H53" s="3">
        <f>AVERAGE(H33:H50)</f>
        <v>9.6947612396913136</v>
      </c>
      <c r="I53" s="2"/>
      <c r="J53" s="2"/>
      <c r="K53" s="3"/>
      <c r="L53" s="3"/>
      <c r="P53" s="1"/>
    </row>
    <row r="54" spans="1:16">
      <c r="B54" s="31"/>
      <c r="C54" s="31"/>
      <c r="D54" s="31"/>
      <c r="E54" s="31"/>
      <c r="F54" s="31"/>
      <c r="G54" s="31"/>
      <c r="H54" s="31"/>
      <c r="I54" s="31"/>
      <c r="J54" s="33"/>
      <c r="K54" s="22"/>
    </row>
    <row r="57" spans="1:16" ht="13.5" thickBot="1">
      <c r="B57" s="24" t="s">
        <v>364</v>
      </c>
      <c r="C57" s="10"/>
      <c r="D57" s="55" t="s">
        <v>392</v>
      </c>
      <c r="E57" s="56">
        <f>'Regression 2'!C38</f>
        <v>0.69375721126276446</v>
      </c>
      <c r="F57" s="55" t="s">
        <v>393</v>
      </c>
      <c r="G57" s="56">
        <f>'Regression 2'!C39</f>
        <v>1.8543806988807425</v>
      </c>
      <c r="H57" s="10"/>
      <c r="I57" s="10"/>
      <c r="J57" s="11"/>
      <c r="K57" s="10"/>
    </row>
    <row r="58" spans="1:16" ht="13.5" thickTop="1">
      <c r="C58" s="1" t="s">
        <v>84</v>
      </c>
      <c r="D58" s="1" t="s">
        <v>84</v>
      </c>
      <c r="G58" s="1" t="s">
        <v>356</v>
      </c>
      <c r="H58" s="1" t="s">
        <v>356</v>
      </c>
      <c r="I58" s="1" t="s">
        <v>359</v>
      </c>
      <c r="J58" s="1" t="s">
        <v>359</v>
      </c>
      <c r="K58" s="1" t="s">
        <v>359</v>
      </c>
      <c r="L58" s="1"/>
      <c r="M58" s="1"/>
      <c r="N58" s="1"/>
      <c r="P58" s="1"/>
    </row>
    <row r="59" spans="1:16">
      <c r="B59" s="30" t="s">
        <v>229</v>
      </c>
      <c r="C59" s="28" t="s">
        <v>173</v>
      </c>
      <c r="D59" s="28" t="s">
        <v>174</v>
      </c>
      <c r="E59" s="29" t="s">
        <v>175</v>
      </c>
      <c r="F59" s="29" t="s">
        <v>176</v>
      </c>
      <c r="G59" s="29" t="s">
        <v>173</v>
      </c>
      <c r="H59" s="29" t="s">
        <v>174</v>
      </c>
      <c r="I59" s="29" t="s">
        <v>357</v>
      </c>
      <c r="J59" s="28" t="s">
        <v>344</v>
      </c>
      <c r="K59" s="29" t="s">
        <v>358</v>
      </c>
      <c r="L59" s="28"/>
      <c r="M59" s="29"/>
      <c r="N59" s="29"/>
      <c r="P59" s="27"/>
    </row>
    <row r="60" spans="1:16">
      <c r="A60">
        <v>1</v>
      </c>
      <c r="B60" s="5" t="s">
        <v>413</v>
      </c>
      <c r="C60" s="4">
        <v>5.0999999999999996</v>
      </c>
      <c r="D60" s="4">
        <v>3.46</v>
      </c>
      <c r="E60" s="3">
        <f>(1/E$57)*(-1)</f>
        <v>-1.4414264583712477</v>
      </c>
      <c r="F60" s="3">
        <f>D60-(C60*(-1/E$57))</f>
        <v>10.811274937693362</v>
      </c>
      <c r="G60" s="3">
        <f>(F60-G$57)/(E$57-(-1/E$57))</f>
        <v>4.1949057433302226</v>
      </c>
      <c r="H60" s="3">
        <f>(G60*E$57)+G$57</f>
        <v>4.7646268088836718</v>
      </c>
      <c r="I60" s="3">
        <f>(((C60-C$80)^2)+(D60-D$80)^2)</f>
        <v>76.19390432098767</v>
      </c>
      <c r="J60" s="3">
        <f>(((G60-G$80)^2)+(H60-H$80)^2)</f>
        <v>73.672657597073055</v>
      </c>
      <c r="K60" s="32">
        <f>I79-J79</f>
        <v>45.917445498831512</v>
      </c>
      <c r="L60" s="4"/>
      <c r="M60" s="14"/>
      <c r="N60" s="14"/>
      <c r="P60" s="26"/>
    </row>
    <row r="61" spans="1:16">
      <c r="A61">
        <v>2</v>
      </c>
      <c r="B61" s="5" t="s">
        <v>414</v>
      </c>
      <c r="C61" s="4">
        <v>4.5999999999999996</v>
      </c>
      <c r="D61" s="4">
        <v>6.53</v>
      </c>
      <c r="E61" s="3">
        <f t="shared" ref="E61:E77" si="10">(1/E$57)*(-1)</f>
        <v>-1.4414264583712477</v>
      </c>
      <c r="F61" s="3">
        <f t="shared" ref="F61:F77" si="11">D61-(C61*(-1/E$57))</f>
        <v>13.160561708507739</v>
      </c>
      <c r="G61" s="3">
        <f t="shared" ref="G61:G77" si="12">(F61-G$57)/(E$57-(-1/E$57))</f>
        <v>5.2951795999662021</v>
      </c>
      <c r="H61" s="3">
        <f t="shared" ref="H61:H77" si="13">(G61*E$57)+G$57</f>
        <v>5.5279497312887758</v>
      </c>
      <c r="I61" s="3">
        <f t="shared" ref="I61:I77" si="14">(((C61-C$80)^2)+(D61-D$80)^2)</f>
        <v>53.965082098765436</v>
      </c>
      <c r="J61" s="3">
        <f t="shared" ref="J61:J77" si="15">(((G61-G$80)^2)+(H61-H$80)^2)</f>
        <v>52.477702681532008</v>
      </c>
      <c r="K61" s="1"/>
      <c r="L61" s="4"/>
      <c r="M61" s="14"/>
      <c r="N61" s="14"/>
      <c r="P61" s="23"/>
    </row>
    <row r="62" spans="1:16">
      <c r="A62">
        <v>3</v>
      </c>
      <c r="B62" s="5" t="s">
        <v>415</v>
      </c>
      <c r="C62" s="4">
        <v>12.98</v>
      </c>
      <c r="D62" s="4">
        <v>14.15</v>
      </c>
      <c r="E62" s="3">
        <f t="shared" si="10"/>
        <v>-1.4414264583712477</v>
      </c>
      <c r="F62" s="3">
        <f t="shared" si="11"/>
        <v>32.859715429658799</v>
      </c>
      <c r="G62" s="3">
        <f t="shared" si="12"/>
        <v>14.521155801127225</v>
      </c>
      <c r="H62" s="3">
        <f t="shared" si="13"/>
        <v>11.928537251782881</v>
      </c>
      <c r="I62" s="3">
        <f t="shared" si="14"/>
        <v>23.187570987654315</v>
      </c>
      <c r="J62" s="3">
        <f t="shared" si="15"/>
        <v>15.877513042589868</v>
      </c>
      <c r="K62" s="1"/>
      <c r="L62" s="4"/>
      <c r="M62" s="14"/>
      <c r="N62" s="14"/>
      <c r="P62" s="23"/>
    </row>
    <row r="63" spans="1:16">
      <c r="A63">
        <v>4</v>
      </c>
      <c r="B63" s="5" t="s">
        <v>416</v>
      </c>
      <c r="C63" s="4">
        <v>7.9</v>
      </c>
      <c r="D63" s="4">
        <v>5.32</v>
      </c>
      <c r="E63" s="3">
        <f t="shared" si="10"/>
        <v>-1.4414264583712477</v>
      </c>
      <c r="F63" s="3">
        <f t="shared" si="11"/>
        <v>16.707269021132859</v>
      </c>
      <c r="G63" s="3">
        <f t="shared" si="12"/>
        <v>6.9562579245456773</v>
      </c>
      <c r="H63" s="3">
        <f t="shared" si="13"/>
        <v>6.6803347974380571</v>
      </c>
      <c r="I63" s="3">
        <f t="shared" si="14"/>
        <v>30.015393209876549</v>
      </c>
      <c r="J63" s="3">
        <f t="shared" si="15"/>
        <v>27.274233343772856</v>
      </c>
      <c r="K63" s="29" t="s">
        <v>360</v>
      </c>
      <c r="L63" s="4"/>
      <c r="M63" s="14"/>
      <c r="N63" s="14"/>
      <c r="P63" s="27"/>
    </row>
    <row r="64" spans="1:16">
      <c r="A64">
        <v>5</v>
      </c>
      <c r="B64" s="5" t="s">
        <v>417</v>
      </c>
      <c r="C64" s="4">
        <v>12.83</v>
      </c>
      <c r="D64" s="4">
        <v>12.96</v>
      </c>
      <c r="E64" s="3">
        <f t="shared" si="10"/>
        <v>-1.4414264583712477</v>
      </c>
      <c r="F64" s="3">
        <f t="shared" si="11"/>
        <v>31.453501460903109</v>
      </c>
      <c r="G64" s="3">
        <f t="shared" si="12"/>
        <v>13.862564229472538</v>
      </c>
      <c r="H64" s="3">
        <f t="shared" si="13"/>
        <v>11.471634599670564</v>
      </c>
      <c r="I64" s="3">
        <f t="shared" si="14"/>
        <v>13.413526543209873</v>
      </c>
      <c r="J64" s="3">
        <f t="shared" si="15"/>
        <v>10.132106090325859</v>
      </c>
      <c r="K64" s="32">
        <f>J79/I79</f>
        <v>0.94491455909974609</v>
      </c>
      <c r="L64" s="4"/>
      <c r="M64" s="14"/>
      <c r="N64" s="14"/>
      <c r="P64" s="26"/>
    </row>
    <row r="65" spans="1:16">
      <c r="A65">
        <v>6</v>
      </c>
      <c r="B65" s="5" t="s">
        <v>179</v>
      </c>
      <c r="C65" s="4">
        <v>16.41</v>
      </c>
      <c r="D65" s="4">
        <v>13.08</v>
      </c>
      <c r="E65" s="3">
        <f t="shared" si="10"/>
        <v>-1.4414264583712477</v>
      </c>
      <c r="F65" s="3">
        <f t="shared" si="11"/>
        <v>36.733808181872178</v>
      </c>
      <c r="G65" s="3">
        <f t="shared" si="12"/>
        <v>16.335563061406351</v>
      </c>
      <c r="H65" s="3">
        <f t="shared" si="13"/>
        <v>13.187295372769039</v>
      </c>
      <c r="I65" s="3">
        <f t="shared" si="14"/>
        <v>38.369682098765431</v>
      </c>
      <c r="J65" s="3">
        <f t="shared" si="15"/>
        <v>38.352628943920585</v>
      </c>
      <c r="K65" s="1"/>
      <c r="L65" s="4"/>
      <c r="M65" s="14"/>
      <c r="N65" s="14"/>
      <c r="P65" s="23"/>
    </row>
    <row r="66" spans="1:16">
      <c r="A66">
        <v>7</v>
      </c>
      <c r="B66" s="5" t="s">
        <v>400</v>
      </c>
      <c r="C66" s="4">
        <v>6.6</v>
      </c>
      <c r="D66" s="4">
        <v>6.84</v>
      </c>
      <c r="E66" s="3">
        <f t="shared" si="10"/>
        <v>-1.4414264583712477</v>
      </c>
      <c r="F66" s="3">
        <f t="shared" si="11"/>
        <v>16.353414625250235</v>
      </c>
      <c r="G66" s="3">
        <f t="shared" si="12"/>
        <v>6.7905324176887989</v>
      </c>
      <c r="H66" s="3">
        <f t="shared" si="13"/>
        <v>6.5653615319659213</v>
      </c>
      <c r="I66" s="3">
        <f t="shared" si="14"/>
        <v>29.533415432098774</v>
      </c>
      <c r="J66" s="3">
        <f t="shared" si="15"/>
        <v>29.421686541784318</v>
      </c>
      <c r="K66" s="1"/>
      <c r="L66" s="4"/>
      <c r="M66" s="14"/>
      <c r="N66" s="14"/>
      <c r="P66" s="23"/>
    </row>
    <row r="67" spans="1:16">
      <c r="A67">
        <v>8</v>
      </c>
      <c r="B67" s="5" t="s">
        <v>14</v>
      </c>
      <c r="C67" s="4">
        <v>10</v>
      </c>
      <c r="D67" s="4">
        <v>9.1199999999999992</v>
      </c>
      <c r="E67" s="3">
        <f t="shared" si="10"/>
        <v>-1.4414264583712477</v>
      </c>
      <c r="F67" s="3">
        <f t="shared" si="11"/>
        <v>23.534264583712478</v>
      </c>
      <c r="G67" s="3">
        <f t="shared" si="12"/>
        <v>10.1536388616853</v>
      </c>
      <c r="H67" s="3">
        <f t="shared" si="13"/>
        <v>8.8985408797327672</v>
      </c>
      <c r="I67" s="3">
        <f t="shared" si="14"/>
        <v>1.8441709876543224</v>
      </c>
      <c r="J67" s="3">
        <f t="shared" si="15"/>
        <v>1.7715219458848273</v>
      </c>
      <c r="K67" s="29" t="s">
        <v>86</v>
      </c>
      <c r="L67" s="4"/>
      <c r="M67" s="14"/>
      <c r="N67" s="14"/>
      <c r="P67" s="27"/>
    </row>
    <row r="68" spans="1:16">
      <c r="A68">
        <v>9</v>
      </c>
      <c r="B68" s="5" t="s">
        <v>15</v>
      </c>
      <c r="C68" s="4">
        <v>8.08</v>
      </c>
      <c r="D68" s="4">
        <v>10.77</v>
      </c>
      <c r="E68" s="3">
        <f t="shared" si="10"/>
        <v>-1.4414264583712477</v>
      </c>
      <c r="F68" s="3">
        <f t="shared" si="11"/>
        <v>22.416725783639681</v>
      </c>
      <c r="G68" s="3">
        <f t="shared" si="12"/>
        <v>9.6302465109633832</v>
      </c>
      <c r="H68" s="3">
        <f t="shared" si="13"/>
        <v>8.5354336620996669</v>
      </c>
      <c r="I68" s="3">
        <f t="shared" si="14"/>
        <v>11.269570987654312</v>
      </c>
      <c r="J68" s="3">
        <f t="shared" si="15"/>
        <v>3.8730200244228601</v>
      </c>
      <c r="K68" s="32">
        <f>SQRT(K64)</f>
        <v>0.97206715771069341</v>
      </c>
      <c r="L68" s="4"/>
      <c r="M68" s="14"/>
      <c r="N68" s="14"/>
      <c r="P68" s="26"/>
    </row>
    <row r="69" spans="1:16">
      <c r="A69">
        <v>10</v>
      </c>
      <c r="B69" s="5" t="s">
        <v>180</v>
      </c>
      <c r="C69" s="4">
        <v>15.67</v>
      </c>
      <c r="D69" s="4">
        <v>9.25</v>
      </c>
      <c r="E69" s="3">
        <f t="shared" si="10"/>
        <v>-1.4414264583712477</v>
      </c>
      <c r="F69" s="3">
        <f t="shared" si="11"/>
        <v>31.837152602677453</v>
      </c>
      <c r="G69" s="3">
        <f t="shared" si="12"/>
        <v>14.042244857060002</v>
      </c>
      <c r="H69" s="3">
        <f t="shared" si="13"/>
        <v>11.596289330783586</v>
      </c>
      <c r="I69" s="3">
        <f t="shared" si="14"/>
        <v>19.726793209876547</v>
      </c>
      <c r="J69" s="3">
        <f t="shared" si="15"/>
        <v>11.572132780760057</v>
      </c>
      <c r="K69" s="1"/>
      <c r="L69" s="4"/>
      <c r="M69" s="14"/>
      <c r="N69" s="14"/>
      <c r="P69" s="23"/>
    </row>
    <row r="70" spans="1:16">
      <c r="A70">
        <v>11</v>
      </c>
      <c r="B70" s="5" t="s">
        <v>16</v>
      </c>
      <c r="C70" s="4">
        <v>4.53</v>
      </c>
      <c r="D70" s="4">
        <v>4.1100000000000003</v>
      </c>
      <c r="E70" s="3">
        <f t="shared" si="10"/>
        <v>-1.4414264583712477</v>
      </c>
      <c r="F70" s="3">
        <f t="shared" si="11"/>
        <v>10.639661856421753</v>
      </c>
      <c r="G70" s="3">
        <f t="shared" si="12"/>
        <v>4.1145318234130555</v>
      </c>
      <c r="H70" s="3">
        <f t="shared" si="13"/>
        <v>4.7088668223436816</v>
      </c>
      <c r="I70" s="3">
        <f t="shared" si="14"/>
        <v>75.892748765432103</v>
      </c>
      <c r="J70" s="3">
        <f t="shared" si="15"/>
        <v>75.361493488771572</v>
      </c>
      <c r="K70" s="1"/>
      <c r="L70" s="4"/>
      <c r="M70" s="14"/>
      <c r="N70" s="14"/>
      <c r="P70" s="23"/>
    </row>
    <row r="71" spans="1:16">
      <c r="A71">
        <v>12</v>
      </c>
      <c r="B71" s="5" t="s">
        <v>17</v>
      </c>
      <c r="C71" s="4">
        <v>6.44</v>
      </c>
      <c r="D71" s="4">
        <v>6.94</v>
      </c>
      <c r="E71" s="3">
        <f t="shared" si="10"/>
        <v>-1.4414264583712477</v>
      </c>
      <c r="F71" s="3">
        <f t="shared" si="11"/>
        <v>16.222786391910837</v>
      </c>
      <c r="G71" s="3">
        <f t="shared" si="12"/>
        <v>6.7293534965509343</v>
      </c>
      <c r="H71" s="3">
        <f t="shared" si="13"/>
        <v>6.5229182142492519</v>
      </c>
      <c r="I71" s="3">
        <f t="shared" si="14"/>
        <v>30.492682098765428</v>
      </c>
      <c r="J71" s="3">
        <f t="shared" si="15"/>
        <v>30.234999436794119</v>
      </c>
      <c r="K71" s="29" t="s">
        <v>85</v>
      </c>
      <c r="L71" s="4"/>
      <c r="M71" s="14"/>
      <c r="N71" s="14"/>
      <c r="P71" s="27"/>
    </row>
    <row r="72" spans="1:16">
      <c r="A72">
        <v>13</v>
      </c>
      <c r="B72" s="5" t="s">
        <v>181</v>
      </c>
      <c r="C72" s="4">
        <v>21.53</v>
      </c>
      <c r="D72" s="4">
        <v>14.64</v>
      </c>
      <c r="E72" s="3">
        <f t="shared" si="10"/>
        <v>-1.4414264583712477</v>
      </c>
      <c r="F72" s="3">
        <f t="shared" si="11"/>
        <v>45.673911648732968</v>
      </c>
      <c r="G72" s="3">
        <f t="shared" si="12"/>
        <v>20.522604951059428</v>
      </c>
      <c r="H72" s="3">
        <f t="shared" si="13"/>
        <v>16.092085877575133</v>
      </c>
      <c r="I72" s="3">
        <f t="shared" si="14"/>
        <v>130.56359320987656</v>
      </c>
      <c r="J72" s="3">
        <f t="shared" si="15"/>
        <v>127.44019502939338</v>
      </c>
      <c r="K72" s="32">
        <f>(J79/1)/(K60/(A77-2))</f>
        <v>274.45787305164771</v>
      </c>
      <c r="L72" s="4"/>
      <c r="M72" s="14"/>
      <c r="N72" s="14"/>
      <c r="P72" s="26"/>
    </row>
    <row r="73" spans="1:16">
      <c r="A73">
        <v>14</v>
      </c>
      <c r="B73" s="5" t="s">
        <v>182</v>
      </c>
      <c r="C73" s="4">
        <v>12.82</v>
      </c>
      <c r="D73" s="4">
        <v>9.36</v>
      </c>
      <c r="E73" s="3">
        <f t="shared" si="10"/>
        <v>-1.4414264583712477</v>
      </c>
      <c r="F73" s="3">
        <f t="shared" si="11"/>
        <v>27.839087196319397</v>
      </c>
      <c r="G73" s="3">
        <f t="shared" si="12"/>
        <v>12.169775774789736</v>
      </c>
      <c r="H73" s="3">
        <f t="shared" si="13"/>
        <v>10.297250402092018</v>
      </c>
      <c r="I73" s="3">
        <f t="shared" si="14"/>
        <v>2.5619709876543246</v>
      </c>
      <c r="J73" s="3">
        <f t="shared" si="15"/>
        <v>1.2607411283823866</v>
      </c>
      <c r="K73" s="1"/>
      <c r="L73" s="4"/>
      <c r="M73" s="14"/>
      <c r="N73" s="14"/>
      <c r="P73" s="23"/>
    </row>
    <row r="74" spans="1:16">
      <c r="A74">
        <v>15</v>
      </c>
      <c r="B74" s="5" t="s">
        <v>156</v>
      </c>
      <c r="C74" s="4">
        <v>22.27</v>
      </c>
      <c r="D74" s="4">
        <v>17.559999999999999</v>
      </c>
      <c r="E74" s="3">
        <f t="shared" si="10"/>
        <v>-1.4414264583712477</v>
      </c>
      <c r="F74" s="3">
        <f t="shared" si="11"/>
        <v>49.660567227927686</v>
      </c>
      <c r="G74" s="3">
        <f t="shared" si="12"/>
        <v>22.389730311697871</v>
      </c>
      <c r="H74" s="3">
        <f t="shared" si="13"/>
        <v>17.387417560849642</v>
      </c>
      <c r="I74" s="3">
        <f t="shared" si="14"/>
        <v>183.95552654320983</v>
      </c>
      <c r="J74" s="3">
        <f t="shared" si="15"/>
        <v>183.91140649736738</v>
      </c>
      <c r="K74" s="1"/>
      <c r="L74" s="4"/>
      <c r="M74" s="14"/>
      <c r="N74" s="14"/>
      <c r="P74" s="1"/>
    </row>
    <row r="75" spans="1:16">
      <c r="A75">
        <v>16</v>
      </c>
      <c r="B75" s="5" t="s">
        <v>157</v>
      </c>
      <c r="C75" s="4">
        <v>4.93</v>
      </c>
      <c r="D75" s="4">
        <v>6.21</v>
      </c>
      <c r="E75" s="3">
        <f t="shared" si="10"/>
        <v>-1.4414264583712477</v>
      </c>
      <c r="F75" s="3">
        <f t="shared" si="11"/>
        <v>13.31623243977025</v>
      </c>
      <c r="G75" s="3">
        <f t="shared" si="12"/>
        <v>5.3680870193495629</v>
      </c>
      <c r="H75" s="3">
        <f t="shared" si="13"/>
        <v>5.5785297792405402</v>
      </c>
      <c r="I75" s="3">
        <f t="shared" si="14"/>
        <v>51.790637654320996</v>
      </c>
      <c r="J75" s="3">
        <f t="shared" si="15"/>
        <v>51.199962778092413</v>
      </c>
      <c r="K75" s="1"/>
      <c r="L75" s="4"/>
      <c r="M75" s="14"/>
      <c r="N75" s="14"/>
      <c r="P75" s="1"/>
    </row>
    <row r="76" spans="1:16">
      <c r="A76">
        <v>17</v>
      </c>
      <c r="B76" s="5" t="s">
        <v>158</v>
      </c>
      <c r="C76" s="4">
        <v>16.350000000000001</v>
      </c>
      <c r="D76" s="4">
        <v>15.02</v>
      </c>
      <c r="E76" s="3">
        <f t="shared" si="10"/>
        <v>-1.4414264583712477</v>
      </c>
      <c r="F76" s="3">
        <f t="shared" si="11"/>
        <v>38.587322594369901</v>
      </c>
      <c r="G76" s="3">
        <f t="shared" si="12"/>
        <v>17.203645015599751</v>
      </c>
      <c r="H76" s="3">
        <f t="shared" si="13"/>
        <v>13.789533488457783</v>
      </c>
      <c r="I76" s="3">
        <f t="shared" si="14"/>
        <v>54.797726543209876</v>
      </c>
      <c r="J76" s="3">
        <f t="shared" si="15"/>
        <v>52.55496889452472</v>
      </c>
      <c r="K76" s="1"/>
      <c r="L76" s="4"/>
      <c r="M76" s="14"/>
      <c r="N76" s="14"/>
      <c r="P76" s="1"/>
    </row>
    <row r="77" spans="1:16">
      <c r="A77">
        <v>18</v>
      </c>
      <c r="B77" s="5" t="s">
        <v>183</v>
      </c>
      <c r="C77" s="4">
        <v>13.41</v>
      </c>
      <c r="D77" s="4">
        <v>8.51</v>
      </c>
      <c r="E77" s="3">
        <f t="shared" si="10"/>
        <v>-1.4414264583712477</v>
      </c>
      <c r="F77" s="3">
        <f t="shared" si="11"/>
        <v>27.83952880675843</v>
      </c>
      <c r="G77" s="3">
        <f t="shared" si="12"/>
        <v>12.169982600293936</v>
      </c>
      <c r="H77" s="3">
        <f t="shared" si="13"/>
        <v>10.29739388877703</v>
      </c>
      <c r="I77" s="3">
        <f t="shared" si="14"/>
        <v>5.993726543209883</v>
      </c>
      <c r="J77" s="3">
        <f t="shared" si="15"/>
        <v>1.2613064779986154</v>
      </c>
      <c r="K77" s="1"/>
      <c r="L77" s="4"/>
      <c r="M77" s="14"/>
      <c r="N77" s="14"/>
      <c r="P77" s="1"/>
    </row>
    <row r="78" spans="1:16">
      <c r="C78" s="1"/>
      <c r="D78" s="1"/>
      <c r="E78" s="2"/>
      <c r="F78" s="2"/>
      <c r="G78" s="2"/>
      <c r="H78" s="3"/>
      <c r="I78" s="2"/>
      <c r="J78" s="2"/>
      <c r="K78" s="1"/>
      <c r="L78" s="1"/>
      <c r="P78" s="1"/>
    </row>
    <row r="79" spans="1:16">
      <c r="B79" s="6" t="s">
        <v>185</v>
      </c>
      <c r="C79" s="3">
        <f>SUM(C60:C77)</f>
        <v>202.45</v>
      </c>
      <c r="D79" s="3">
        <f>SUM(D60:D77)</f>
        <v>173.83</v>
      </c>
      <c r="E79" s="2"/>
      <c r="F79" s="2"/>
      <c r="G79" s="3">
        <f>SUM(G60:G77)</f>
        <v>202.44999999999996</v>
      </c>
      <c r="H79" s="3">
        <f>SUM(H60:H77)</f>
        <v>173.83</v>
      </c>
      <c r="I79" s="3">
        <f>SUM(I60:I77)</f>
        <v>833.56772222222219</v>
      </c>
      <c r="J79" s="3">
        <f>SUM(J60:J77)</f>
        <v>787.65027672339068</v>
      </c>
      <c r="K79" s="3"/>
      <c r="L79" s="3"/>
      <c r="M79" s="3"/>
      <c r="N79" s="3"/>
      <c r="P79" s="1"/>
    </row>
    <row r="80" spans="1:16">
      <c r="B80" t="s">
        <v>178</v>
      </c>
      <c r="C80" s="3">
        <f>AVERAGE(C60:C77)</f>
        <v>11.247222222222222</v>
      </c>
      <c r="D80" s="3">
        <f>AVERAGE(D60:D77)</f>
        <v>9.6572222222222237</v>
      </c>
      <c r="E80" s="3"/>
      <c r="F80" s="3"/>
      <c r="G80" s="3">
        <f>AVERAGE(G60:G77)</f>
        <v>11.24722222222222</v>
      </c>
      <c r="H80" s="3">
        <f>AVERAGE(H60:H77)</f>
        <v>9.6572222222222237</v>
      </c>
      <c r="I80" s="2"/>
      <c r="J80" s="2"/>
      <c r="K80" s="3"/>
      <c r="L80" s="3"/>
      <c r="P80" s="1"/>
    </row>
    <row r="81" spans="2:11">
      <c r="B81" s="31"/>
      <c r="C81" s="31"/>
      <c r="D81" s="31"/>
      <c r="E81" s="31"/>
      <c r="F81" s="31"/>
      <c r="G81" s="31"/>
      <c r="H81" s="31"/>
      <c r="I81" s="31"/>
      <c r="J81" s="33"/>
      <c r="K81" s="22"/>
    </row>
    <row r="83" spans="2:11">
      <c r="B83" s="34" t="s">
        <v>47</v>
      </c>
    </row>
    <row r="84" spans="2:11">
      <c r="B84" s="34" t="s">
        <v>271</v>
      </c>
    </row>
    <row r="91" spans="2:11">
      <c r="C91" s="4"/>
      <c r="D91" s="4"/>
    </row>
    <row r="92" spans="2:11">
      <c r="C92" s="4"/>
      <c r="D92" s="4"/>
    </row>
    <row r="93" spans="2:11">
      <c r="C93" s="4"/>
      <c r="D93" s="4"/>
    </row>
    <row r="94" spans="2:11">
      <c r="C94" s="4"/>
      <c r="D94" s="4"/>
    </row>
    <row r="95" spans="2:11">
      <c r="C95" s="4"/>
      <c r="D95" s="4"/>
    </row>
    <row r="96" spans="2:11">
      <c r="C96" s="4"/>
      <c r="D96" s="4"/>
    </row>
    <row r="97" spans="3:4">
      <c r="C97" s="4"/>
      <c r="D97" s="4"/>
    </row>
    <row r="98" spans="3:4">
      <c r="C98" s="4"/>
      <c r="D98" s="4"/>
    </row>
    <row r="99" spans="3:4">
      <c r="C99" s="4"/>
      <c r="D99" s="4"/>
    </row>
    <row r="100" spans="3:4">
      <c r="C100" s="4"/>
      <c r="D100" s="4"/>
    </row>
    <row r="101" spans="3:4">
      <c r="C101" s="4"/>
      <c r="D101" s="4"/>
    </row>
    <row r="102" spans="3:4">
      <c r="C102" s="4"/>
      <c r="D102" s="4"/>
    </row>
    <row r="103" spans="3:4">
      <c r="C103" s="4"/>
      <c r="D103" s="4"/>
    </row>
    <row r="104" spans="3:4">
      <c r="C104" s="4"/>
      <c r="D104" s="4"/>
    </row>
    <row r="105" spans="3:4">
      <c r="C105" s="4"/>
      <c r="D105" s="4"/>
    </row>
    <row r="106" spans="3:4">
      <c r="C106" s="4"/>
      <c r="D106" s="4"/>
    </row>
    <row r="107" spans="3:4">
      <c r="C107" s="4"/>
      <c r="D107" s="4"/>
    </row>
    <row r="108" spans="3:4">
      <c r="C108" s="4"/>
      <c r="D108" s="4"/>
    </row>
  </sheetData>
  <phoneticPr fontId="7"/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44"/>
  <sheetViews>
    <sheetView topLeftCell="A35" workbookViewId="0">
      <selection activeCell="I72" sqref="I72"/>
    </sheetView>
  </sheetViews>
  <sheetFormatPr defaultRowHeight="12.75"/>
  <cols>
    <col min="1" max="1" width="6.125" customWidth="1"/>
    <col min="2" max="2" width="17" customWidth="1"/>
    <col min="3" max="4" width="10.75" style="1" customWidth="1"/>
    <col min="5" max="7" width="11" customWidth="1"/>
    <col min="8" max="8" width="5" customWidth="1"/>
    <col min="9" max="256" width="11" customWidth="1"/>
  </cols>
  <sheetData>
    <row r="1" spans="1:7" ht="15">
      <c r="A1" s="57" t="s">
        <v>455</v>
      </c>
    </row>
    <row r="3" spans="1:7">
      <c r="B3" s="191" t="s">
        <v>355</v>
      </c>
      <c r="C3" s="191"/>
      <c r="D3" s="191"/>
      <c r="E3" s="191"/>
      <c r="F3" s="191"/>
      <c r="G3" s="191"/>
    </row>
    <row r="4" spans="1:7" ht="13.5" thickBot="1">
      <c r="B4" s="10"/>
      <c r="C4" s="11"/>
      <c r="D4" s="11"/>
      <c r="E4" s="10"/>
      <c r="F4" s="10"/>
      <c r="G4" s="10"/>
    </row>
    <row r="5" spans="1:7" ht="13.5" thickTop="1"/>
    <row r="6" spans="1:7">
      <c r="B6" t="s">
        <v>229</v>
      </c>
    </row>
    <row r="7" spans="1:7">
      <c r="C7" s="2" t="s">
        <v>173</v>
      </c>
      <c r="D7" s="2" t="s">
        <v>231</v>
      </c>
      <c r="E7" s="2" t="s">
        <v>174</v>
      </c>
      <c r="F7" s="2" t="s">
        <v>232</v>
      </c>
      <c r="G7" s="2" t="s">
        <v>240</v>
      </c>
    </row>
    <row r="8" spans="1:7">
      <c r="A8">
        <v>1</v>
      </c>
      <c r="B8" s="5" t="s">
        <v>413</v>
      </c>
      <c r="C8" s="4">
        <v>5.0999999999999996</v>
      </c>
      <c r="D8" s="14">
        <f>C8^2</f>
        <v>26.009999999999998</v>
      </c>
      <c r="E8" s="4">
        <v>3.46</v>
      </c>
      <c r="F8" s="14">
        <f>E8^2</f>
        <v>11.9716</v>
      </c>
      <c r="G8" s="14">
        <f t="shared" ref="G8:G25" si="0">E8*C8</f>
        <v>17.645999999999997</v>
      </c>
    </row>
    <row r="9" spans="1:7">
      <c r="A9">
        <v>2</v>
      </c>
      <c r="B9" s="5" t="s">
        <v>414</v>
      </c>
      <c r="C9" s="4">
        <v>4.5999999999999996</v>
      </c>
      <c r="D9" s="14">
        <f t="shared" ref="D9:D25" si="1">C9^2</f>
        <v>21.159999999999997</v>
      </c>
      <c r="E9" s="4">
        <v>6.53</v>
      </c>
      <c r="F9" s="14">
        <f t="shared" ref="F9:F25" si="2">E9^2</f>
        <v>42.640900000000002</v>
      </c>
      <c r="G9" s="14">
        <f t="shared" si="0"/>
        <v>30.038</v>
      </c>
    </row>
    <row r="10" spans="1:7">
      <c r="A10">
        <v>3</v>
      </c>
      <c r="B10" s="5" t="s">
        <v>415</v>
      </c>
      <c r="C10" s="4">
        <v>12.98</v>
      </c>
      <c r="D10" s="14">
        <f t="shared" si="1"/>
        <v>168.4804</v>
      </c>
      <c r="E10" s="4">
        <v>14.15</v>
      </c>
      <c r="F10" s="14">
        <f t="shared" si="2"/>
        <v>200.2225</v>
      </c>
      <c r="G10" s="14">
        <f t="shared" si="0"/>
        <v>183.667</v>
      </c>
    </row>
    <row r="11" spans="1:7">
      <c r="A11">
        <v>4</v>
      </c>
      <c r="B11" s="5" t="s">
        <v>416</v>
      </c>
      <c r="C11" s="4">
        <v>7.9</v>
      </c>
      <c r="D11" s="14">
        <f t="shared" si="1"/>
        <v>62.410000000000004</v>
      </c>
      <c r="E11" s="4">
        <v>5.32</v>
      </c>
      <c r="F11" s="14">
        <f t="shared" si="2"/>
        <v>28.302400000000002</v>
      </c>
      <c r="G11" s="14">
        <f t="shared" si="0"/>
        <v>42.028000000000006</v>
      </c>
    </row>
    <row r="12" spans="1:7">
      <c r="A12">
        <v>5</v>
      </c>
      <c r="B12" s="5" t="s">
        <v>417</v>
      </c>
      <c r="C12" s="4">
        <v>12.83</v>
      </c>
      <c r="D12" s="14">
        <f t="shared" si="1"/>
        <v>164.60890000000001</v>
      </c>
      <c r="E12" s="4">
        <v>12.96</v>
      </c>
      <c r="F12" s="14">
        <f t="shared" si="2"/>
        <v>167.96160000000003</v>
      </c>
      <c r="G12" s="14">
        <f t="shared" si="0"/>
        <v>166.27680000000001</v>
      </c>
    </row>
    <row r="13" spans="1:7">
      <c r="A13">
        <v>6</v>
      </c>
      <c r="B13" s="5" t="s">
        <v>179</v>
      </c>
      <c r="C13" s="4">
        <v>16.41</v>
      </c>
      <c r="D13" s="14">
        <f t="shared" si="1"/>
        <v>269.28809999999999</v>
      </c>
      <c r="E13" s="4">
        <v>13.08</v>
      </c>
      <c r="F13" s="14">
        <f t="shared" si="2"/>
        <v>171.0864</v>
      </c>
      <c r="G13" s="14">
        <f t="shared" si="0"/>
        <v>214.64279999999999</v>
      </c>
    </row>
    <row r="14" spans="1:7">
      <c r="A14">
        <v>7</v>
      </c>
      <c r="B14" s="5" t="s">
        <v>400</v>
      </c>
      <c r="C14" s="4">
        <v>6.6</v>
      </c>
      <c r="D14" s="14">
        <f t="shared" si="1"/>
        <v>43.559999999999995</v>
      </c>
      <c r="E14" s="4">
        <v>6.84</v>
      </c>
      <c r="F14" s="14">
        <f t="shared" si="2"/>
        <v>46.785599999999995</v>
      </c>
      <c r="G14" s="14">
        <f t="shared" si="0"/>
        <v>45.143999999999998</v>
      </c>
    </row>
    <row r="15" spans="1:7">
      <c r="A15">
        <v>8</v>
      </c>
      <c r="B15" s="5" t="s">
        <v>14</v>
      </c>
      <c r="C15" s="4">
        <v>10</v>
      </c>
      <c r="D15" s="14">
        <f t="shared" si="1"/>
        <v>100</v>
      </c>
      <c r="E15" s="4">
        <v>9.1199999999999992</v>
      </c>
      <c r="F15" s="14">
        <f t="shared" si="2"/>
        <v>83.174399999999991</v>
      </c>
      <c r="G15" s="14">
        <f t="shared" si="0"/>
        <v>91.199999999999989</v>
      </c>
    </row>
    <row r="16" spans="1:7">
      <c r="A16">
        <v>9</v>
      </c>
      <c r="B16" s="5" t="s">
        <v>376</v>
      </c>
      <c r="C16" s="4">
        <v>8.08</v>
      </c>
      <c r="D16" s="14">
        <f t="shared" si="1"/>
        <v>65.2864</v>
      </c>
      <c r="E16" s="4">
        <v>10.77</v>
      </c>
      <c r="F16" s="14">
        <f t="shared" si="2"/>
        <v>115.99289999999999</v>
      </c>
      <c r="G16" s="14">
        <f t="shared" si="0"/>
        <v>87.021599999999992</v>
      </c>
    </row>
    <row r="17" spans="1:8">
      <c r="A17">
        <v>10</v>
      </c>
      <c r="B17" s="5" t="s">
        <v>180</v>
      </c>
      <c r="C17" s="4">
        <v>15.67</v>
      </c>
      <c r="D17" s="14">
        <f t="shared" si="1"/>
        <v>245.5489</v>
      </c>
      <c r="E17" s="4">
        <v>9.25</v>
      </c>
      <c r="F17" s="14">
        <f t="shared" si="2"/>
        <v>85.5625</v>
      </c>
      <c r="G17" s="14">
        <f t="shared" si="0"/>
        <v>144.94749999999999</v>
      </c>
    </row>
    <row r="18" spans="1:8">
      <c r="A18">
        <v>11</v>
      </c>
      <c r="B18" s="5" t="s">
        <v>16</v>
      </c>
      <c r="C18" s="4">
        <v>4.53</v>
      </c>
      <c r="D18" s="14">
        <f t="shared" si="1"/>
        <v>20.520900000000001</v>
      </c>
      <c r="E18" s="4">
        <v>4.1100000000000003</v>
      </c>
      <c r="F18" s="14">
        <f t="shared" si="2"/>
        <v>16.892100000000003</v>
      </c>
      <c r="G18" s="14">
        <f t="shared" si="0"/>
        <v>18.618300000000001</v>
      </c>
    </row>
    <row r="19" spans="1:8">
      <c r="A19">
        <v>12</v>
      </c>
      <c r="B19" s="5" t="s">
        <v>377</v>
      </c>
      <c r="C19" s="4">
        <v>6.44</v>
      </c>
      <c r="D19" s="14">
        <f t="shared" si="1"/>
        <v>41.473600000000005</v>
      </c>
      <c r="E19" s="4">
        <v>6.94</v>
      </c>
      <c r="F19" s="14">
        <f t="shared" si="2"/>
        <v>48.163600000000002</v>
      </c>
      <c r="G19" s="14">
        <f t="shared" si="0"/>
        <v>44.693600000000004</v>
      </c>
    </row>
    <row r="20" spans="1:8">
      <c r="A20">
        <v>13</v>
      </c>
      <c r="B20" s="5" t="s">
        <v>181</v>
      </c>
      <c r="C20" s="4">
        <v>21.53</v>
      </c>
      <c r="D20" s="14">
        <f t="shared" si="1"/>
        <v>463.54090000000002</v>
      </c>
      <c r="E20" s="4">
        <v>14.64</v>
      </c>
      <c r="F20" s="14">
        <f t="shared" si="2"/>
        <v>214.32960000000003</v>
      </c>
      <c r="G20" s="14">
        <f t="shared" si="0"/>
        <v>315.19920000000002</v>
      </c>
    </row>
    <row r="21" spans="1:8">
      <c r="A21">
        <v>14</v>
      </c>
      <c r="B21" s="5" t="s">
        <v>182</v>
      </c>
      <c r="C21" s="4">
        <v>12.82</v>
      </c>
      <c r="D21" s="14">
        <f t="shared" si="1"/>
        <v>164.35240000000002</v>
      </c>
      <c r="E21" s="4">
        <v>9.36</v>
      </c>
      <c r="F21" s="14">
        <f t="shared" si="2"/>
        <v>87.609599999999986</v>
      </c>
      <c r="G21" s="14">
        <f t="shared" si="0"/>
        <v>119.9952</v>
      </c>
    </row>
    <row r="22" spans="1:8">
      <c r="A22">
        <v>15</v>
      </c>
      <c r="B22" s="5" t="s">
        <v>156</v>
      </c>
      <c r="C22" s="4">
        <v>22.27</v>
      </c>
      <c r="D22" s="14">
        <f t="shared" si="1"/>
        <v>495.9529</v>
      </c>
      <c r="E22" s="4">
        <v>17.559999999999999</v>
      </c>
      <c r="F22" s="14">
        <f t="shared" si="2"/>
        <v>308.35359999999997</v>
      </c>
      <c r="G22" s="14">
        <f t="shared" si="0"/>
        <v>391.06119999999999</v>
      </c>
    </row>
    <row r="23" spans="1:8">
      <c r="A23">
        <v>16</v>
      </c>
      <c r="B23" s="5" t="s">
        <v>157</v>
      </c>
      <c r="C23" s="4">
        <v>4.93</v>
      </c>
      <c r="D23" s="14">
        <f t="shared" si="1"/>
        <v>24.304899999999996</v>
      </c>
      <c r="E23" s="4">
        <v>6.21</v>
      </c>
      <c r="F23" s="14">
        <f t="shared" si="2"/>
        <v>38.564099999999996</v>
      </c>
      <c r="G23" s="14">
        <f t="shared" si="0"/>
        <v>30.615299999999998</v>
      </c>
    </row>
    <row r="24" spans="1:8">
      <c r="A24">
        <v>17</v>
      </c>
      <c r="B24" s="5" t="s">
        <v>158</v>
      </c>
      <c r="C24" s="4">
        <v>16.350000000000001</v>
      </c>
      <c r="D24" s="14">
        <f t="shared" si="1"/>
        <v>267.32250000000005</v>
      </c>
      <c r="E24" s="4">
        <v>15.02</v>
      </c>
      <c r="F24" s="14">
        <f t="shared" si="2"/>
        <v>225.60039999999998</v>
      </c>
      <c r="G24" s="14">
        <f t="shared" si="0"/>
        <v>245.57700000000003</v>
      </c>
    </row>
    <row r="25" spans="1:8">
      <c r="A25">
        <v>18</v>
      </c>
      <c r="B25" s="5" t="s">
        <v>183</v>
      </c>
      <c r="C25" s="4">
        <v>13.41</v>
      </c>
      <c r="D25" s="14">
        <f t="shared" si="1"/>
        <v>179.82810000000001</v>
      </c>
      <c r="E25" s="4">
        <v>8.51</v>
      </c>
      <c r="F25" s="14">
        <f t="shared" si="2"/>
        <v>72.420099999999991</v>
      </c>
      <c r="G25" s="14">
        <f t="shared" si="0"/>
        <v>114.1191</v>
      </c>
    </row>
    <row r="26" spans="1:8">
      <c r="C26"/>
      <c r="D26"/>
      <c r="H26" s="1"/>
    </row>
    <row r="27" spans="1:8">
      <c r="B27" s="21" t="s">
        <v>185</v>
      </c>
      <c r="C27" s="14">
        <f>SUM(C8:C26)</f>
        <v>202.45</v>
      </c>
      <c r="D27" s="14">
        <f>SUM(D8:D26)</f>
        <v>2823.6489000000006</v>
      </c>
      <c r="E27" s="14">
        <f>SUM(E8:E26)</f>
        <v>173.83</v>
      </c>
      <c r="F27" s="14">
        <f>SUM(F8:F26)</f>
        <v>1965.6339</v>
      </c>
      <c r="G27" s="14">
        <f>SUM(G8:G26)</f>
        <v>2302.4906000000001</v>
      </c>
    </row>
    <row r="28" spans="1:8">
      <c r="C28" s="15"/>
      <c r="D28" s="15"/>
      <c r="H28" s="1"/>
    </row>
    <row r="29" spans="1:8">
      <c r="B29" t="s">
        <v>165</v>
      </c>
      <c r="C29" s="14">
        <f>(D27-((C27^2)/A25))/(A25-1)</f>
        <v>32.155809477124237</v>
      </c>
      <c r="D29" s="3"/>
      <c r="H29" s="1"/>
    </row>
    <row r="30" spans="1:8">
      <c r="B30" t="s">
        <v>166</v>
      </c>
      <c r="C30" s="14">
        <f>(F27-((E27^2)/A25))/(A25-1)</f>
        <v>16.877585947712397</v>
      </c>
      <c r="D30" s="16"/>
      <c r="E30" s="14"/>
      <c r="H30" s="1"/>
    </row>
    <row r="31" spans="1:8">
      <c r="B31" t="s">
        <v>351</v>
      </c>
      <c r="C31" s="14">
        <f>(G27-((E27*C27)/A25))/(A25-1)</f>
        <v>20.434468300653595</v>
      </c>
      <c r="D31" s="20"/>
      <c r="H31" s="1"/>
    </row>
    <row r="32" spans="1:8">
      <c r="B32" t="s">
        <v>236</v>
      </c>
      <c r="C32" s="14">
        <f>C27/A25</f>
        <v>11.247222222222222</v>
      </c>
      <c r="D32"/>
      <c r="H32" s="1"/>
    </row>
    <row r="33" spans="2:8" s="17" customFormat="1">
      <c r="B33" t="s">
        <v>237</v>
      </c>
      <c r="C33" s="14">
        <f>E27/A25</f>
        <v>9.6572222222222237</v>
      </c>
      <c r="D33"/>
      <c r="E33"/>
      <c r="F33"/>
      <c r="G33"/>
      <c r="H33" s="1"/>
    </row>
    <row r="34" spans="2:8">
      <c r="B34" t="s">
        <v>230</v>
      </c>
      <c r="C34" s="19">
        <f>SQRT(((C30+C29)^2)-(4*((C30*C29)-(C31^2))))</f>
        <v>43.631343013209445</v>
      </c>
      <c r="D34"/>
      <c r="H34" s="1"/>
    </row>
    <row r="35" spans="2:8">
      <c r="B35" s="6" t="s">
        <v>238</v>
      </c>
      <c r="C35" s="14">
        <f>((C30+C29)+C34)/2</f>
        <v>46.332369219023036</v>
      </c>
      <c r="D35"/>
      <c r="H35" s="1"/>
    </row>
    <row r="36" spans="2:8">
      <c r="B36" s="6" t="s">
        <v>239</v>
      </c>
      <c r="C36" s="14">
        <f>(C30+C29-C34)/2</f>
        <v>2.7010262058135943</v>
      </c>
      <c r="D36"/>
      <c r="H36" s="1"/>
    </row>
    <row r="37" spans="2:8">
      <c r="C37"/>
      <c r="D37"/>
      <c r="H37" s="1"/>
    </row>
    <row r="38" spans="2:8">
      <c r="B38" t="s">
        <v>175</v>
      </c>
      <c r="C38" s="14">
        <f>C31/(C35-C30)</f>
        <v>0.69375721126276446</v>
      </c>
      <c r="D38"/>
      <c r="H38" s="1"/>
    </row>
    <row r="39" spans="2:8">
      <c r="B39" t="s">
        <v>176</v>
      </c>
      <c r="C39" s="14">
        <f>C33-(C38*C32)</f>
        <v>1.8543806988807425</v>
      </c>
      <c r="D39"/>
      <c r="H39" s="1"/>
    </row>
    <row r="40" spans="2:8">
      <c r="C40"/>
      <c r="D40"/>
    </row>
    <row r="44" spans="2:8">
      <c r="E44" s="2"/>
      <c r="F44" s="2"/>
      <c r="G44" s="2"/>
      <c r="H44" s="18"/>
    </row>
  </sheetData>
  <mergeCells count="1">
    <mergeCell ref="B3:G3"/>
  </mergeCells>
  <phoneticPr fontId="4"/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V61"/>
  <sheetViews>
    <sheetView workbookViewId="0"/>
  </sheetViews>
  <sheetFormatPr defaultRowHeight="12.75"/>
  <cols>
    <col min="1" max="1" width="6.125" customWidth="1"/>
    <col min="2" max="2" width="13.375" customWidth="1"/>
    <col min="3" max="4" width="10.75" style="1" customWidth="1"/>
    <col min="5" max="5" width="4.875" customWidth="1"/>
    <col min="6" max="256" width="11" customWidth="1"/>
  </cols>
  <sheetData>
    <row r="1" spans="1:256" ht="15">
      <c r="A1" s="57" t="s">
        <v>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</row>
    <row r="3" spans="1:256">
      <c r="C3" s="1" t="s">
        <v>343</v>
      </c>
    </row>
    <row r="4" spans="1:256" ht="13.5" thickBot="1">
      <c r="B4" s="10"/>
      <c r="C4" s="11" t="s">
        <v>344</v>
      </c>
      <c r="D4" s="11"/>
    </row>
    <row r="5" spans="1:256" ht="13.5" thickTop="1"/>
    <row r="6" spans="1:256">
      <c r="B6" t="s">
        <v>229</v>
      </c>
    </row>
    <row r="7" spans="1:256">
      <c r="C7" s="2" t="s">
        <v>173</v>
      </c>
      <c r="D7" s="2" t="s">
        <v>174</v>
      </c>
    </row>
    <row r="8" spans="1:256">
      <c r="A8">
        <v>1</v>
      </c>
      <c r="B8" s="5" t="s">
        <v>413</v>
      </c>
      <c r="C8" s="4">
        <v>5.0999999999999996</v>
      </c>
      <c r="D8" s="4">
        <v>3.46</v>
      </c>
    </row>
    <row r="9" spans="1:256">
      <c r="A9">
        <v>2</v>
      </c>
      <c r="B9" s="5" t="s">
        <v>414</v>
      </c>
      <c r="C9" s="4">
        <v>4.5999999999999996</v>
      </c>
      <c r="D9" s="4">
        <v>6.53</v>
      </c>
    </row>
    <row r="10" spans="1:256">
      <c r="A10">
        <v>3</v>
      </c>
      <c r="B10" s="5" t="s">
        <v>415</v>
      </c>
      <c r="C10" s="4">
        <v>12.98</v>
      </c>
      <c r="D10" s="4">
        <v>14.15</v>
      </c>
    </row>
    <row r="11" spans="1:256">
      <c r="A11">
        <v>4</v>
      </c>
      <c r="B11" s="5" t="s">
        <v>416</v>
      </c>
      <c r="C11" s="4">
        <v>7.9</v>
      </c>
      <c r="D11" s="4">
        <v>5.32</v>
      </c>
    </row>
    <row r="12" spans="1:256">
      <c r="A12">
        <v>5</v>
      </c>
      <c r="B12" s="5" t="s">
        <v>417</v>
      </c>
      <c r="C12" s="4">
        <v>12.83</v>
      </c>
      <c r="D12" s="4">
        <v>12.96</v>
      </c>
    </row>
    <row r="13" spans="1:256">
      <c r="A13">
        <v>6</v>
      </c>
      <c r="B13" s="5" t="s">
        <v>179</v>
      </c>
      <c r="C13" s="4">
        <v>16.41</v>
      </c>
      <c r="D13" s="4">
        <v>13.08</v>
      </c>
    </row>
    <row r="14" spans="1:256">
      <c r="A14">
        <v>7</v>
      </c>
      <c r="B14" s="5" t="s">
        <v>400</v>
      </c>
      <c r="C14" s="4">
        <v>6.6</v>
      </c>
      <c r="D14" s="4">
        <v>6.84</v>
      </c>
    </row>
    <row r="15" spans="1:256">
      <c r="A15">
        <v>8</v>
      </c>
      <c r="B15" s="5" t="s">
        <v>14</v>
      </c>
      <c r="C15" s="4">
        <v>10</v>
      </c>
      <c r="D15" s="4">
        <v>9.1199999999999992</v>
      </c>
    </row>
    <row r="16" spans="1:256">
      <c r="A16">
        <v>9</v>
      </c>
      <c r="B16" s="5" t="s">
        <v>376</v>
      </c>
      <c r="C16" s="4">
        <v>8.08</v>
      </c>
      <c r="D16" s="4">
        <v>10.77</v>
      </c>
    </row>
    <row r="17" spans="1:4">
      <c r="A17">
        <v>10</v>
      </c>
      <c r="B17" s="5" t="s">
        <v>180</v>
      </c>
      <c r="C17" s="4">
        <v>15.67</v>
      </c>
      <c r="D17" s="4">
        <v>9.25</v>
      </c>
    </row>
    <row r="18" spans="1:4">
      <c r="A18">
        <v>11</v>
      </c>
      <c r="B18" s="5" t="s">
        <v>16</v>
      </c>
      <c r="C18" s="4">
        <v>4.53</v>
      </c>
      <c r="D18" s="4">
        <v>4.1100000000000003</v>
      </c>
    </row>
    <row r="19" spans="1:4">
      <c r="A19">
        <v>12</v>
      </c>
      <c r="B19" s="5" t="s">
        <v>377</v>
      </c>
      <c r="C19" s="4">
        <v>6.44</v>
      </c>
      <c r="D19" s="4">
        <v>6.94</v>
      </c>
    </row>
    <row r="20" spans="1:4">
      <c r="A20">
        <v>13</v>
      </c>
      <c r="B20" s="5" t="s">
        <v>181</v>
      </c>
      <c r="C20" s="4">
        <v>21.53</v>
      </c>
      <c r="D20" s="4">
        <v>14.64</v>
      </c>
    </row>
    <row r="21" spans="1:4">
      <c r="A21">
        <v>14</v>
      </c>
      <c r="B21" s="5" t="s">
        <v>182</v>
      </c>
      <c r="C21" s="4">
        <v>12.82</v>
      </c>
      <c r="D21" s="4">
        <v>9.36</v>
      </c>
    </row>
    <row r="22" spans="1:4">
      <c r="A22">
        <v>15</v>
      </c>
      <c r="B22" s="5" t="s">
        <v>156</v>
      </c>
      <c r="C22" s="4">
        <v>22.27</v>
      </c>
      <c r="D22" s="4">
        <v>17.559999999999999</v>
      </c>
    </row>
    <row r="23" spans="1:4">
      <c r="A23">
        <v>16</v>
      </c>
      <c r="B23" s="5" t="s">
        <v>157</v>
      </c>
      <c r="C23" s="4">
        <v>4.93</v>
      </c>
      <c r="D23" s="4">
        <v>6.21</v>
      </c>
    </row>
    <row r="24" spans="1:4">
      <c r="A24">
        <v>17</v>
      </c>
      <c r="B24" s="5" t="s">
        <v>158</v>
      </c>
      <c r="C24" s="4">
        <v>16.350000000000001</v>
      </c>
      <c r="D24" s="4">
        <v>15.02</v>
      </c>
    </row>
    <row r="25" spans="1:4">
      <c r="A25">
        <v>18</v>
      </c>
      <c r="B25" s="5" t="s">
        <v>183</v>
      </c>
      <c r="C25" s="4">
        <v>13.41</v>
      </c>
      <c r="D25" s="4">
        <v>8.51</v>
      </c>
    </row>
    <row r="27" spans="1:4">
      <c r="B27" t="s">
        <v>184</v>
      </c>
      <c r="C27" s="3">
        <f>STDEV(C8:C25)</f>
        <v>5.6706092685992955</v>
      </c>
      <c r="D27" s="3">
        <f>STDEV(D8:D25)</f>
        <v>4.1082339207635679</v>
      </c>
    </row>
    <row r="28" spans="1:4">
      <c r="B28" t="s">
        <v>178</v>
      </c>
      <c r="C28" s="3">
        <f>AVERAGE(C8:C25)</f>
        <v>11.247222222222222</v>
      </c>
      <c r="D28" s="3">
        <f>AVERAGE(D8:D25)</f>
        <v>9.6572222222222237</v>
      </c>
    </row>
    <row r="29" spans="1:4">
      <c r="B29" s="6" t="s">
        <v>185</v>
      </c>
      <c r="C29" s="3">
        <f>SUM(C8:C25)</f>
        <v>202.45</v>
      </c>
      <c r="D29" s="3">
        <f>SUM(D8:D25)</f>
        <v>173.83</v>
      </c>
    </row>
    <row r="30" spans="1:4">
      <c r="B30" s="12"/>
      <c r="C30" s="13"/>
      <c r="D30" s="13"/>
    </row>
    <row r="32" spans="1:4">
      <c r="B32" t="s">
        <v>369</v>
      </c>
      <c r="C32" s="2" t="s">
        <v>175</v>
      </c>
      <c r="D32" s="2" t="s">
        <v>176</v>
      </c>
    </row>
    <row r="33" spans="2:5">
      <c r="C33" s="3">
        <f>SLOPE(D8:D25,C8:C25)</f>
        <v>0.63548293863324412</v>
      </c>
      <c r="D33" s="3">
        <f>INTERCEPT(D8:D25,C8:C25)</f>
        <v>2.5098043929833196</v>
      </c>
    </row>
    <row r="35" spans="2:5">
      <c r="B35" t="s">
        <v>177</v>
      </c>
      <c r="C35" s="2" t="s">
        <v>175</v>
      </c>
      <c r="D35" s="2" t="s">
        <v>176</v>
      </c>
    </row>
    <row r="36" spans="2:5">
      <c r="C36" s="3">
        <f>D27/C27</f>
        <v>0.72447839838175765</v>
      </c>
      <c r="D36" s="3">
        <f>D28-(C36*C28)</f>
        <v>1.5088526804229545</v>
      </c>
      <c r="E36" s="1"/>
    </row>
    <row r="37" spans="2:5">
      <c r="E37" s="1"/>
    </row>
    <row r="38" spans="2:5">
      <c r="B38" s="7" t="s">
        <v>342</v>
      </c>
    </row>
    <row r="40" spans="2:5">
      <c r="C40" s="2" t="s">
        <v>187</v>
      </c>
    </row>
    <row r="41" spans="2:5">
      <c r="B41" s="5" t="s">
        <v>413</v>
      </c>
      <c r="C41" s="4">
        <f t="shared" ref="C41:C58" si="0">(C8-11.25)*(D8-9.66)</f>
        <v>38.130000000000003</v>
      </c>
    </row>
    <row r="42" spans="2:5">
      <c r="B42" s="5" t="s">
        <v>414</v>
      </c>
      <c r="C42" s="4">
        <f t="shared" si="0"/>
        <v>20.814499999999999</v>
      </c>
    </row>
    <row r="43" spans="2:5">
      <c r="B43" s="5" t="s">
        <v>415</v>
      </c>
      <c r="C43" s="4">
        <f t="shared" si="0"/>
        <v>7.7677000000000023</v>
      </c>
    </row>
    <row r="44" spans="2:5">
      <c r="B44" s="5" t="s">
        <v>416</v>
      </c>
      <c r="C44" s="4">
        <f t="shared" si="0"/>
        <v>14.538999999999998</v>
      </c>
    </row>
    <row r="45" spans="2:5">
      <c r="B45" s="5" t="s">
        <v>417</v>
      </c>
      <c r="C45" s="4">
        <f t="shared" si="0"/>
        <v>5.2140000000000013</v>
      </c>
    </row>
    <row r="46" spans="2:5">
      <c r="B46" s="5" t="s">
        <v>179</v>
      </c>
      <c r="C46" s="4">
        <f t="shared" si="0"/>
        <v>17.647200000000002</v>
      </c>
    </row>
    <row r="47" spans="2:5">
      <c r="B47" s="5" t="s">
        <v>400</v>
      </c>
      <c r="C47" s="4">
        <f t="shared" si="0"/>
        <v>13.113000000000003</v>
      </c>
    </row>
    <row r="48" spans="2:5">
      <c r="B48" s="5" t="s">
        <v>14</v>
      </c>
      <c r="C48" s="4">
        <f t="shared" si="0"/>
        <v>0.67500000000000115</v>
      </c>
    </row>
    <row r="49" spans="2:4">
      <c r="B49" s="5" t="s">
        <v>376</v>
      </c>
      <c r="C49" s="4">
        <f t="shared" si="0"/>
        <v>-3.5186999999999982</v>
      </c>
    </row>
    <row r="50" spans="2:4">
      <c r="B50" s="5" t="s">
        <v>180</v>
      </c>
      <c r="C50" s="4">
        <f t="shared" si="0"/>
        <v>-1.8122000000000007</v>
      </c>
    </row>
    <row r="51" spans="2:4">
      <c r="B51" s="5" t="s">
        <v>16</v>
      </c>
      <c r="C51" s="4">
        <f t="shared" si="0"/>
        <v>37.295999999999999</v>
      </c>
    </row>
    <row r="52" spans="2:4">
      <c r="B52" s="5" t="s">
        <v>377</v>
      </c>
      <c r="C52" s="4">
        <f t="shared" si="0"/>
        <v>13.083199999999998</v>
      </c>
    </row>
    <row r="53" spans="2:4">
      <c r="B53" s="5" t="s">
        <v>181</v>
      </c>
      <c r="C53" s="4">
        <f t="shared" si="0"/>
        <v>51.194400000000009</v>
      </c>
    </row>
    <row r="54" spans="2:4">
      <c r="B54" s="5" t="s">
        <v>182</v>
      </c>
      <c r="C54" s="4">
        <f t="shared" si="0"/>
        <v>-0.4710000000000012</v>
      </c>
    </row>
    <row r="55" spans="2:4">
      <c r="B55" s="5" t="s">
        <v>156</v>
      </c>
      <c r="C55" s="4">
        <f t="shared" si="0"/>
        <v>87.057999999999979</v>
      </c>
    </row>
    <row r="56" spans="2:4">
      <c r="B56" s="5" t="s">
        <v>157</v>
      </c>
      <c r="C56" s="4">
        <f t="shared" si="0"/>
        <v>21.804000000000002</v>
      </c>
    </row>
    <row r="57" spans="2:4">
      <c r="B57" s="5" t="s">
        <v>158</v>
      </c>
      <c r="C57" s="4">
        <f t="shared" si="0"/>
        <v>27.336000000000006</v>
      </c>
    </row>
    <row r="58" spans="2:4">
      <c r="B58" s="5" t="s">
        <v>183</v>
      </c>
      <c r="C58" s="4">
        <f t="shared" si="0"/>
        <v>-2.4840000000000009</v>
      </c>
    </row>
    <row r="60" spans="2:4">
      <c r="B60" s="6" t="s">
        <v>186</v>
      </c>
      <c r="C60" s="3">
        <f>SUM(C41:C58)</f>
        <v>347.3861</v>
      </c>
    </row>
    <row r="61" spans="2:4" ht="13.5" thickBot="1">
      <c r="B61" s="8"/>
      <c r="C61" s="9"/>
      <c r="D61" s="9"/>
    </row>
  </sheetData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MDS</vt:lpstr>
      <vt:lpstr>Groups III (Cluster Analysis)</vt:lpstr>
      <vt:lpstr>Groups II</vt:lpstr>
      <vt:lpstr>Groups I</vt:lpstr>
      <vt:lpstr>Data Blocks</vt:lpstr>
      <vt:lpstr>Rs &amp; Qs II</vt:lpstr>
      <vt:lpstr>R&amp;Qs</vt:lpstr>
      <vt:lpstr>FA</vt:lpstr>
      <vt:lpstr>PCA</vt:lpstr>
      <vt:lpstr>Regression 4</vt:lpstr>
      <vt:lpstr>Regression 3</vt:lpstr>
      <vt:lpstr>Regression 2</vt:lpstr>
      <vt:lpstr>Regression 1</vt:lpstr>
    </vt:vector>
  </TitlesOfParts>
  <Company>The Natural History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 MacLeod</dc:creator>
  <cp:lastModifiedBy>Alan R. T. Spencer</cp:lastModifiedBy>
  <cp:lastPrinted>2006-07-01T06:15:20Z</cp:lastPrinted>
  <dcterms:created xsi:type="dcterms:W3CDTF">2004-02-19T15:09:32Z</dcterms:created>
  <dcterms:modified xsi:type="dcterms:W3CDTF">2015-11-06T14:26:19Z</dcterms:modified>
</cp:coreProperties>
</file>